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comments6.xml" ContentType="application/vnd.openxmlformats-officedocument.spreadsheetml.comments+xml"/>
  <Override PartName="/xl/vbaProject.bin" ContentType="application/vnd.ms-office.vbaProject"/>
  <Default Extension="rels" ContentType="application/vnd.openxmlformats-package.relationships+xml"/>
  <Default Extension="xml" ContentType="application/xml"/>
  <Override PartName="/xl/worksheets/sheet5.xml" ContentType="application/vnd.openxmlformats-officedocument.spreadsheetml.worksheet+xml"/>
  <Override PartName="/xl/comments4.xml" ContentType="application/vnd.openxmlformats-officedocument.spreadsheetml.comments+xml"/>
  <Override PartName="/xl/embeddings/oleObject2.bin" ContentType="application/vnd.openxmlformats-officedocument.oleObject"/>
  <Override PartName="/xl/worksheets/sheet3.xml" ContentType="application/vnd.openxmlformats-officedocument.spreadsheetml.worksheet+xml"/>
  <Override PartName="/xl/comments2.xml" ContentType="application/vnd.openxmlformats-officedocument.spreadsheetml.comments+xml"/>
  <Override PartName="/xl/ctrlProps/ctrlProp8.xml" ContentType="application/vnd.ms-excel.controlproperties+xml"/>
  <Override PartName="/xl/worksheets/sheet1.xml" ContentType="application/vnd.openxmlformats-officedocument.spreadsheetml.worksheet+xml"/>
  <Override PartName="/xl/worksheets/sheet49.xml" ContentType="application/vnd.openxmlformats-officedocument.spreadsheetml.worksheet+xml"/>
  <Override PartName="/xl/ctrlProps/ctrlProp6.xml" ContentType="application/vnd.ms-excel.controlproperties+xml"/>
  <Override PartName="/xl/worksheets/sheet29.xml" ContentType="application/vnd.openxmlformats-officedocument.spreadsheetml.worksheet+xml"/>
  <Override PartName="/xl/worksheets/sheet38.xml" ContentType="application/vnd.openxmlformats-officedocument.spreadsheetml.worksheet+xml"/>
  <Override PartName="/xl/worksheets/sheet47.xml" ContentType="application/vnd.openxmlformats-officedocument.spreadsheetml.worksheet+xml"/>
  <Override PartName="/xl/sharedStrings.xml" ContentType="application/vnd.openxmlformats-officedocument.spreadsheetml.sharedStrings+xml"/>
  <Override PartName="/xl/ctrlProps/ctrlProp4.xml" ContentType="application/vnd.ms-excel.controlpropertie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emf" ContentType="image/x-emf"/>
  <Override PartName="/xl/comments7.xml" ContentType="application/vnd.openxmlformats-officedocument.spreadsheetml.comments+xml"/>
  <Override PartName="/xl/workbook.xml" ContentType="application/vnd.ms-excel.sheet.macroEnabled.main+xml"/>
  <Override PartName="/xl/worksheets/sheet4.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ctrlProps/ctrlProp7.xml" ContentType="application/vnd.ms-excel.controlproperties+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trlProps/ctrlProp5.xml" ContentType="application/vnd.ms-excel.controlproperties+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ctrlProps/ctrlProp3.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19a76d1864f94033" Type="http://schemas.microsoft.com/office/2006/relationships/ui/extensibility" Target="customUI/customUI.xml"/></Relationships>
</file>

<file path=xl/workbook.xml><?xml version="1.0" encoding="utf-8"?>
<workbook xmlns="http://schemas.openxmlformats.org/spreadsheetml/2006/main" xmlns:r="http://schemas.openxmlformats.org/officeDocument/2006/relationships">
  <fileVersion appName="xl" lastEdited="4" lowestEdited="4" rupBuild="4505" codeName="{37E998C4-C9E5-D4B9-71C8-EB1FF731991C}"/>
  <workbookPr codeName="ThisWorkbook" defaultThemeVersion="124226"/>
  <bookViews>
    <workbookView xWindow="-15" yWindow="-15" windowWidth="10260" windowHeight="8100" tabRatio="930" activeTab="8"/>
  </bookViews>
  <sheets>
    <sheet name="ML" sheetId="1" r:id="rId1"/>
    <sheet name="Ts" sheetId="5" r:id="rId2"/>
    <sheet name="Bia1" sheetId="2" r:id="rId3"/>
    <sheet name="TM" sheetId="3" r:id="rId4"/>
    <sheet name="PLthamtra" sheetId="49" state="hidden" r:id="rId5"/>
    <sheet name="Tong hop kinh phi" sheetId="6" r:id="rId6"/>
    <sheet name="TH Hang muc" sheetId="43" r:id="rId7"/>
    <sheet name="CP xay dung" sheetId="9" r:id="rId8"/>
    <sheet name="Dutoan XD" sheetId="10" r:id="rId9"/>
    <sheet name="Tkthep" sheetId="51" state="hidden" r:id="rId10"/>
    <sheet name="Don gia chi tiet" sheetId="13" r:id="rId11"/>
    <sheet name="VLSG XD" sheetId="11" state="hidden" r:id="rId12"/>
    <sheet name="Tong hop &amp; Chenh lech" sheetId="46" r:id="rId13"/>
    <sheet name="Gia vat lieu" sheetId="14" r:id="rId14"/>
    <sheet name="Gia vua" sheetId="15" r:id="rId15"/>
    <sheet name="Nhan cong" sheetId="16" r:id="rId16"/>
    <sheet name="Gia ca may" sheetId="17" r:id="rId17"/>
    <sheet name="NhienlieuXD" sheetId="18" state="hidden" r:id="rId18"/>
    <sheet name="Vật tư điều chỉnh xây dựng" sheetId="53" state="hidden" r:id="rId19"/>
    <sheet name="Số liệu điều chỉnh HĐ xây dựng" sheetId="52" state="hidden" r:id="rId20"/>
    <sheet name="Du thau" sheetId="19" r:id="rId21"/>
    <sheet name="VCLC XD" sheetId="20" state="hidden" r:id="rId22"/>
    <sheet name="Gia tri vat tu" sheetId="21" r:id="rId23"/>
    <sheet name="TDTC XD" sheetId="22" state="hidden" r:id="rId24"/>
    <sheet name="CP tu van" sheetId="56" r:id="rId25"/>
    <sheet name="Cp khac" sheetId="57" r:id="rId26"/>
    <sheet name="CP Du phong" sheetId="7" r:id="rId27"/>
    <sheet name="QD957" sheetId="8" r:id="rId28"/>
    <sheet name="Bia2" sheetId="48" r:id="rId29"/>
    <sheet name="TH CP thiet bi" sheetId="23" r:id="rId30"/>
    <sheet name="CP mua sam tbi" sheetId="24" r:id="rId31"/>
    <sheet name="CP dao tao" sheetId="25" r:id="rId32"/>
    <sheet name="Hang muc TB" sheetId="44" r:id="rId33"/>
    <sheet name="Lap dat" sheetId="26" r:id="rId34"/>
    <sheet name="Dutoan lap dat" sheetId="27" r:id="rId35"/>
    <sheet name="Don gia lap dat" sheetId="30" r:id="rId36"/>
    <sheet name="TH&amp;Chenh lech LD" sheetId="29" r:id="rId37"/>
    <sheet name="VLSG TB" sheetId="28" state="hidden" r:id="rId38"/>
    <sheet name="VL hien truong LD" sheetId="31" r:id="rId39"/>
    <sheet name="PLV lap dat" sheetId="32" r:id="rId40"/>
    <sheet name="Nhan cong LD" sheetId="33" r:id="rId41"/>
    <sheet name="Gia ca may LD" sheetId="34" r:id="rId42"/>
    <sheet name="NhienlieuTB" sheetId="35" state="hidden" r:id="rId43"/>
    <sheet name="Vật tư điều chỉnh thiết bị" sheetId="55" state="hidden" r:id="rId44"/>
    <sheet name="Số liệu điều chỉnh HĐ thiết bị" sheetId="54" state="hidden" r:id="rId45"/>
    <sheet name="Du thau LD" sheetId="36" r:id="rId46"/>
    <sheet name="VCLC TB" sheetId="37" state="hidden" r:id="rId47"/>
    <sheet name="GVT TB" sheetId="38" state="hidden" r:id="rId48"/>
    <sheet name="TDLD TB" sheetId="41" state="hidden" r:id="rId49"/>
    <sheet name="NhanCong" sheetId="42" r:id="rId50"/>
    <sheet name="Morong" sheetId="40" state="hidden" r:id="rId51"/>
  </sheets>
  <functionGroups/>
  <definedNames>
    <definedName name="_a129" localSheetId="44" hidden="1">{"Offgrid",#N/A,FALSE,"OFFGRID";"Region",#N/A,FALSE,"REGION";"Offgrid -2",#N/A,FALSE,"OFFGRID";"WTP",#N/A,FALSE,"WTP";"WTP -2",#N/A,FALSE,"WTP";"Project",#N/A,FALSE,"PROJECT";"Summary -2",#N/A,FALSE,"SUMMARY"}</definedName>
    <definedName name="_a129" localSheetId="19" hidden="1">{"Offgrid",#N/A,FALSE,"OFFGRID";"Region",#N/A,FALSE,"REGION";"Offgrid -2",#N/A,FALSE,"OFFGRID";"WTP",#N/A,FALSE,"WTP";"WTP -2",#N/A,FALSE,"WTP";"Project",#N/A,FALSE,"PROJECT";"Summary -2",#N/A,FALSE,"SUMMARY"}</definedName>
    <definedName name="_a129" localSheetId="43" hidden="1">{"Offgrid",#N/A,FALSE,"OFFGRID";"Region",#N/A,FALSE,"REGION";"Offgrid -2",#N/A,FALSE,"OFFGRID";"WTP",#N/A,FALSE,"WTP";"WTP -2",#N/A,FALSE,"WTP";"Project",#N/A,FALSE,"PROJECT";"Summary -2",#N/A,FALSE,"SUMMARY"}</definedName>
    <definedName name="_a129" localSheetId="18"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44" hidden="1">{"Offgrid",#N/A,FALSE,"OFFGRID";"Region",#N/A,FALSE,"REGION";"Offgrid -2",#N/A,FALSE,"OFFGRID";"WTP",#N/A,FALSE,"WTP";"WTP -2",#N/A,FALSE,"WTP";"Project",#N/A,FALSE,"PROJECT";"Summary -2",#N/A,FALSE,"SUMMARY"}</definedName>
    <definedName name="_a130" localSheetId="19" hidden="1">{"Offgrid",#N/A,FALSE,"OFFGRID";"Region",#N/A,FALSE,"REGION";"Offgrid -2",#N/A,FALSE,"OFFGRID";"WTP",#N/A,FALSE,"WTP";"WTP -2",#N/A,FALSE,"WTP";"Project",#N/A,FALSE,"PROJECT";"Summary -2",#N/A,FALSE,"SUMMARY"}</definedName>
    <definedName name="_a130" localSheetId="43" hidden="1">{"Offgrid",#N/A,FALSE,"OFFGRID";"Region",#N/A,FALSE,"REGION";"Offgrid -2",#N/A,FALSE,"OFFGRID";"WTP",#N/A,FALSE,"WTP";"WTP -2",#N/A,FALSE,"WTP";"Project",#N/A,FALSE,"PROJECT";"Summary -2",#N/A,FALSE,"SUMMARY"}</definedName>
    <definedName name="_a130" localSheetId="18"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Fill" localSheetId="25" hidden="1">#REF!</definedName>
    <definedName name="_Fill" localSheetId="24" hidden="1">#REF!</definedName>
    <definedName name="_Fill" localSheetId="44" hidden="1">#REF!</definedName>
    <definedName name="_Fill" localSheetId="19" hidden="1">#REF!</definedName>
    <definedName name="_Fill" localSheetId="43" hidden="1">#REF!</definedName>
    <definedName name="_Fill" localSheetId="18" hidden="1">#REF!</definedName>
    <definedName name="_Fill" hidden="1">#REF!</definedName>
    <definedName name="_xlnm._FilterDatabase" localSheetId="8" hidden="1">'Dutoan XD'!$A$9:$O$98</definedName>
    <definedName name="_xlnm._FilterDatabase" localSheetId="15" hidden="1">'Nhan cong'!$A$12:$N$14</definedName>
    <definedName name="_xlnm._FilterDatabase" localSheetId="49" hidden="1">NhanCong!$A$12:$M$389</definedName>
    <definedName name="_Key1" localSheetId="25" hidden="1">#REF!</definedName>
    <definedName name="_Key1" localSheetId="24" hidden="1">#REF!</definedName>
    <definedName name="_Key1" localSheetId="44" hidden="1">#REF!</definedName>
    <definedName name="_Key1" localSheetId="19" hidden="1">#REF!</definedName>
    <definedName name="_Key1" localSheetId="43" hidden="1">#REF!</definedName>
    <definedName name="_Key1" localSheetId="18" hidden="1">#REF!</definedName>
    <definedName name="_Key1" hidden="1">#REF!</definedName>
    <definedName name="_Key2" localSheetId="25" hidden="1">#REF!</definedName>
    <definedName name="_Key2" localSheetId="24" hidden="1">#REF!</definedName>
    <definedName name="_Key2" localSheetId="44" hidden="1">#REF!</definedName>
    <definedName name="_Key2" localSheetId="19" hidden="1">#REF!</definedName>
    <definedName name="_Key2" localSheetId="43" hidden="1">#REF!</definedName>
    <definedName name="_Key2" localSheetId="18" hidden="1">#REF!</definedName>
    <definedName name="_Key2" hidden="1">#REF!</definedName>
    <definedName name="_Ni3">NhanCong!$M$20</definedName>
    <definedName name="_Ni35">NhanCong!$M$23</definedName>
    <definedName name="_Ni35dt">NhanCong!$M$72</definedName>
    <definedName name="_Ni3dt">NhanCong!$M$71</definedName>
    <definedName name="_Ni4">NhanCong!$M$25</definedName>
    <definedName name="_Ni45">NhanCong!$M$27</definedName>
    <definedName name="_Ni45dt">NhanCong!$M$74</definedName>
    <definedName name="_Ni4dt">NhanCong!$M$73</definedName>
    <definedName name="_Ni5">NhanCong!$M$29</definedName>
    <definedName name="_Ni55dt">NhanCong!$M$76</definedName>
    <definedName name="_Ni5dt">NhanCong!$M$75</definedName>
    <definedName name="_Ni6">NhanCong!$M$32</definedName>
    <definedName name="_Ni6dt">NhanCong!$M$77</definedName>
    <definedName name="_Ni7">NhanCong!$M$33</definedName>
    <definedName name="_Ni7dt">NhanCong!$M$78</definedName>
    <definedName name="_Nii2">NhanCong!$M$35</definedName>
    <definedName name="_Nii3">NhanCong!$M$38</definedName>
    <definedName name="_Nii35dt">NhanCong!$M$81</definedName>
    <definedName name="_Nii3dt">NhanCong!$M$80</definedName>
    <definedName name="_Nii4">NhanCong!$M$42</definedName>
    <definedName name="_Nii45dt">NhanCong!$M$83</definedName>
    <definedName name="_Nii4dt">NhanCong!$M$82</definedName>
    <definedName name="_Nii5">NhanCong!$M$46</definedName>
    <definedName name="_Nii55dt">NhanCong!$M$85</definedName>
    <definedName name="_Nii5dt">NhanCong!$M$84</definedName>
    <definedName name="_Nii6">NhanCong!$M$49</definedName>
    <definedName name="_Nii6dt">NhanCong!$M$86</definedName>
    <definedName name="_Nii7">NhanCong!$M$50</definedName>
    <definedName name="_Nii7dt">NhanCong!$M$87</definedName>
    <definedName name="_Niii2">NhanCong!$M$52</definedName>
    <definedName name="_Niii3">NhanCong!$M$55</definedName>
    <definedName name="_Niii35">NhanCong!$M$57</definedName>
    <definedName name="_Niii35dt">NhanCong!$M$90</definedName>
    <definedName name="_Niii3dt">NhanCong!$M$89</definedName>
    <definedName name="_Niii4">NhanCong!$M$59</definedName>
    <definedName name="_Niii45">NhanCong!$M$62</definedName>
    <definedName name="_Niii45dt">NhanCong!$M$92</definedName>
    <definedName name="_Niii4dt">NhanCong!$M$91</definedName>
    <definedName name="_Niii5">NhanCong!$M$64</definedName>
    <definedName name="_Niii55dt">NhanCong!$M$94</definedName>
    <definedName name="_Niii5dt">NhanCong!$M$93</definedName>
    <definedName name="_Niii6">NhanCong!$M$67</definedName>
    <definedName name="_Niii6dt">NhanCong!$M$95</definedName>
    <definedName name="_Niii7">NhanCong!$M$68</definedName>
    <definedName name="_Niii7dt">NhanCong!$M$96</definedName>
    <definedName name="_Order1" hidden="1">255</definedName>
    <definedName name="_Order2" hidden="1">255</definedName>
    <definedName name="_Sort" localSheetId="25" hidden="1">#REF!</definedName>
    <definedName name="_Sort" localSheetId="24" hidden="1">#REF!</definedName>
    <definedName name="_Sort" localSheetId="44" hidden="1">#REF!</definedName>
    <definedName name="_Sort" localSheetId="19" hidden="1">#REF!</definedName>
    <definedName name="_Sort" localSheetId="43" hidden="1">#REF!</definedName>
    <definedName name="_Sort" localSheetId="18" hidden="1">#REF!</definedName>
    <definedName name="_Sort" hidden="1">#REF!</definedName>
    <definedName name="aaaaaa" hidden="1">{"Offgrid",#N/A,FALSE,"OFFGRID";"Region",#N/A,FALSE,"REGION";"Offgrid -2",#N/A,FALSE,"OFFGRID";"WTP",#N/A,FALSE,"WTP";"WTP -2",#N/A,FALSE,"WTP";"Project",#N/A,FALSE,"PROJECT";"Summary -2",#N/A,FALSE,"SUMMARY"}</definedName>
    <definedName name="asssss" hidden="1">{"'Sheet1'!$L$16"}</definedName>
    <definedName name="bbbb" hidden="1">{"Offgrid",#N/A,FALSE,"OFFGRID";"Region",#N/A,FALSE,"REGION";"Offgrid -2",#N/A,FALSE,"OFFGRID";"WTP",#N/A,FALSE,"WTP";"WTP -2",#N/A,FALSE,"WTP";"Project",#N/A,FALSE,"PROJECT";"Summary -2",#N/A,FALSE,"SUMMARY"}</definedName>
    <definedName name="bhang">Ts!$T$11:$T$14</definedName>
    <definedName name="BTK">'QD957'!$D$6</definedName>
    <definedName name="cadem">Ts!$C$32</definedName>
    <definedName name="Capduong.1b">NhanCong!$M$165</definedName>
    <definedName name="Capduong.1s">NhanCong!$M$304</definedName>
    <definedName name="Capduong.1vb">NhanCong!$M$375</definedName>
    <definedName name="Capduong.2b">NhanCong!$M$166</definedName>
    <definedName name="Capduong.2s">NhanCong!$M$305</definedName>
    <definedName name="Capduong.2vb">NhanCong!$M$376</definedName>
    <definedName name="Capduong.3b">NhanCong!$M$167</definedName>
    <definedName name="Capduong.3s">NhanCong!$M$306</definedName>
    <definedName name="Capduong.3vb">NhanCong!$M$377</definedName>
    <definedName name="Capduong.4b">NhanCong!$M$168</definedName>
    <definedName name="Capduong.4s">NhanCong!$M$307</definedName>
    <definedName name="Capduong.4vb">NhanCong!$M$378</definedName>
    <definedName name="ccc" hidden="1">{"'Sheet1'!$L$16"}</definedName>
    <definedName name="CCT">'QD957'!$D$7</definedName>
    <definedName name="CPMTCgld">IF('Lap dat'!D1=0,"C+CLM",IF('Lap dat'!$D$12&lt;&gt;0,IF('Lap dat'!E1&lt;&gt;0,"C*"&amp;'Lap dat'!D1&amp;"*"&amp;'Lap dat'!E1&amp;"+CLM","C*"&amp;'Lap dat'!D1&amp;"+CLM"),IF('Lap dat'!E1&lt;&gt;0,"C*"&amp;'Lap dat'!D1&amp;"*"&amp;'Lap dat'!E1,"C*"&amp;'Lap dat'!D1)))</definedName>
    <definedName name="CPMTCgxd">IF('CP xay dung'!D1=0,"C+CLM",IF('CP xay dung'!$D$12&lt;&gt;0,IF('CP xay dung'!E1&lt;&gt;0,"C*"&amp;'CP xay dung'!D1&amp;"*"&amp;'CP xay dung'!E1&amp;"+CLM","C*"&amp;'CP xay dung'!D1&amp;"+CLM"),IF('CP xay dung'!E1&lt;&gt;0,"C*"&amp;'CP xay dung'!D1&amp;"*"&amp;'CP xay dung'!E1,"C*"&amp;'CP xay dung'!D1)))</definedName>
    <definedName name="CPNCgld">IF('Lap dat'!D1=0,"B+CLNC",IF('Lap dat'!$D$10&lt;&gt;0,IF('Lap dat'!E1&lt;&gt;0,"B*"&amp;'Lap dat'!D1&amp;"*"&amp;'Lap dat'!E1&amp;"+CLNC","B*"&amp;'Lap dat'!D1&amp;"+CLNC"),IF('Lap dat'!E1&lt;&gt;0,"B*"&amp;'Lap dat'!D1&amp;"*"&amp;'Lap dat'!E1,"B*"&amp;'Lap dat'!D1)))</definedName>
    <definedName name="CPNCgxd">IF('CP xay dung'!D1=0,"B+CLNC",IF('CP xay dung'!$D$10&lt;&gt;0,IF('CP xay dung'!E1&lt;&gt;0,"B*"&amp;'CP xay dung'!D1&amp;"*"&amp;'CP xay dung'!E1&amp;"+CLNC","B*"&amp;'CP xay dung'!D1&amp;"+CLNC"),IF('CP xay dung'!E1&lt;&gt;0,"B*"&amp;'CP xay dung'!D1&amp;"*"&amp;'CP xay dung'!E1,"B*"&amp;'CP xay dung'!D1)))</definedName>
    <definedName name="CPVLgld">IF('Lap dat'!D1=0,"A+CLVL",IF('Lap dat'!B1048571=0,"A*"&amp;'Lap dat'!D1,"(A + CLVL) * "&amp;'Lap dat'!D1))</definedName>
    <definedName name="CPVLgxd">IF('CP xay dung'!D1=0,"A+CLVL",IF('CP xay dung'!B1048571=0,"A*"&amp;'CP xay dung'!D1,"(A + CLVL) * "&amp;'CP xay dung'!D1))</definedName>
    <definedName name="CTTB_CNC">'Don gia lap dat'!$V$1</definedName>
    <definedName name="CTTB_CPC">'Don gia lap dat'!$R$1</definedName>
    <definedName name="CTTB_CPTL">'Don gia lap dat'!$S$1</definedName>
    <definedName name="CTTB_DG">'Don gia lap dat'!$D$5</definedName>
    <definedName name="CTTB_DM">'Don gia lap dat'!$C$5</definedName>
    <definedName name="CTTB_DMHP">'Don gia lap dat'!$H$5</definedName>
    <definedName name="CTTB_DV">'Don gia lap dat'!$G$5</definedName>
    <definedName name="CTTB_G">'Don gia lap dat'!$I$5</definedName>
    <definedName name="CTTB_GBC">'Don gia lap dat'!$X$1</definedName>
    <definedName name="CTTB_GDP">'Don gia lap dat'!$Z$1</definedName>
    <definedName name="CTTB_GKS">'Don gia lap dat'!$W$1</definedName>
    <definedName name="CTTB_GNT">'Don gia lap dat'!$Y$1</definedName>
    <definedName name="CTTB_GTGT">'Don gia lap dat'!$T$1</definedName>
    <definedName name="CTTB_GXDNT">'Don gia lap dat'!$U$1</definedName>
    <definedName name="CTTB_HPK">'Don gia lap dat'!$M$1</definedName>
    <definedName name="CTTB_HS">'Don gia lap dat'!$J$5</definedName>
    <definedName name="CTTB_HSTT">'Don gia lap dat'!$Q$1</definedName>
    <definedName name="CTTB_M">'Don gia lap dat'!$P$1</definedName>
    <definedName name="CTTB_MSVT">'Don gia lap dat'!$E$5</definedName>
    <definedName name="CTTB_MV">'Don gia lap dat'!$B$5</definedName>
    <definedName name="CTTB_STT">'Don gia lap dat'!$A$5</definedName>
    <definedName name="CTTB_TEN">'Don gia lap dat'!$F$5</definedName>
    <definedName name="CTTB_THP">'Don gia lap dat'!$L$5</definedName>
    <definedName name="CTTB_THPK">'Don gia lap dat'!$O$1</definedName>
    <definedName name="CTTB_TT">'Don gia lap dat'!$K$5</definedName>
    <definedName name="CTTB_TTK">'Don gia lap dat'!$N$1</definedName>
    <definedName name="CTXD_CNC">'Don gia chi tiet'!$V$1</definedName>
    <definedName name="CTXD_CPC">'Don gia chi tiet'!$R$1</definedName>
    <definedName name="CTXD_CPTL">'Don gia chi tiet'!$S$1</definedName>
    <definedName name="CTXD_DG">'Don gia chi tiet'!$D$5</definedName>
    <definedName name="CTXD_DM">'Don gia chi tiet'!$C$5</definedName>
    <definedName name="CTXD_DMHP">'Don gia chi tiet'!$H$5</definedName>
    <definedName name="CTXD_DV">'Don gia chi tiet'!$G$5</definedName>
    <definedName name="CTXD_G">'Don gia chi tiet'!$I$5</definedName>
    <definedName name="CTXD_GBC">'Don gia chi tiet'!$X$1</definedName>
    <definedName name="CTXD_GDP">'Don gia chi tiet'!$Z$1</definedName>
    <definedName name="CTXD_GKS">'Don gia chi tiet'!$W$1</definedName>
    <definedName name="CTXD_GNT">'Don gia chi tiet'!$Y$1</definedName>
    <definedName name="CTXD_GTGT">'Don gia chi tiet'!$T$1</definedName>
    <definedName name="CTXD_GXDNT">'Don gia chi tiet'!$U$1</definedName>
    <definedName name="CTXD_HPK">'Don gia chi tiet'!$M$1</definedName>
    <definedName name="CTXD_HS">'Don gia chi tiet'!$J$5</definedName>
    <definedName name="CTXD_HSTT">'Don gia chi tiet'!$Q$1</definedName>
    <definedName name="CTXD_M">'Don gia chi tiet'!$P$1</definedName>
    <definedName name="CTXD_MSVT">'Don gia chi tiet'!$E$5</definedName>
    <definedName name="CTXD_MV">'Don gia chi tiet'!$B$5</definedName>
    <definedName name="CTXD_STT">'Don gia chi tiet'!$A$5</definedName>
    <definedName name="CTXD_TEN">'Don gia chi tiet'!$F$5</definedName>
    <definedName name="CTXD_THP">'Don gia chi tiet'!$L$5</definedName>
    <definedName name="CTXD_THPK">'Don gia chi tiet'!$O$1</definedName>
    <definedName name="CTXD_TT">'Don gia chi tiet'!$K$5</definedName>
    <definedName name="CTXD_TTK">'Don gia chi tiet'!$N$1</definedName>
    <definedName name="dacbiet">Ts!$C$31</definedName>
    <definedName name="DCGHDTB_HSCD" localSheetId="44">'Số liệu điều chỉnh HĐ thiết bị'!$C$44</definedName>
    <definedName name="DCGHDTB_STT" localSheetId="44">'Số liệu điều chỉnh HĐ thiết bị'!$B$44</definedName>
    <definedName name="DCGHDTB_TTM" localSheetId="44">'Số liệu điều chỉnh HĐ thiết bị'!$E$44</definedName>
    <definedName name="DCGHDTB_TTNC" localSheetId="44">'Số liệu điều chỉnh HĐ thiết bị'!$D$44</definedName>
    <definedName name="DCGHDTB_TTVL" localSheetId="44">'Số liệu điều chỉnh HĐ thiết bị'!$F$44</definedName>
    <definedName name="DCGHDXD_HSCD">'Số liệu điều chỉnh HĐ xây dựng'!$C$44</definedName>
    <definedName name="DCGHDXD_STT">'Số liệu điều chỉnh HĐ xây dựng'!$B$44</definedName>
    <definedName name="DCGHDXD_TTM">'Số liệu điều chỉnh HĐ xây dựng'!$E$44</definedName>
    <definedName name="DCGHDXD_TTNC">'Số liệu điều chỉnh HĐ xây dựng'!$D$44</definedName>
    <definedName name="DCGHDXD_TTVL">'Số liệu điều chỉnh HĐ xây dựng'!$F$44</definedName>
    <definedName name="dddddd" hidden="1">{"Offgrid",#N/A,FALSE,"OFFGRID";"Region",#N/A,FALSE,"REGION";"Offgrid -2",#N/A,FALSE,"OFFGRID";"WTP",#N/A,FALSE,"WTP";"WTP -2",#N/A,FALSE,"WTP";"Project",#N/A,FALSE,"PROJECT";"Summary -2",#N/A,FALSE,"SUMMARY"}</definedName>
    <definedName name="dien">Ts!$C$40</definedName>
    <definedName name="diezel">Ts!$C$36</definedName>
    <definedName name="dochai">Ts!$C$30</definedName>
    <definedName name="DphoM2Bung.1b">NhanCong!$M$332</definedName>
    <definedName name="DphoM2Bung.2b">NhanCong!$M$333</definedName>
    <definedName name="DphoM2Bung.3b">NhanCong!$M$334</definedName>
    <definedName name="DphoM2Bung.4b">NhanCong!$M$335</definedName>
    <definedName name="DphoMtr.11s">NhanCong!$M$215</definedName>
    <definedName name="DphoMtr.12s">NhanCong!$M$216</definedName>
    <definedName name="DphoMtr.21s">NhanCong!$M$217</definedName>
    <definedName name="DphoMtr.22s">NhanCong!$M$218</definedName>
    <definedName name="DphoMtr.31s">NhanCong!$M$219</definedName>
    <definedName name="DphoMtr.32s">NhanCong!$M$220</definedName>
    <definedName name="DphoMtr.41s">NhanCong!$M$221</definedName>
    <definedName name="DphoMtr.42s">NhanCong!$M$222</definedName>
    <definedName name="DTDTTB_CPC">'Du thau LD'!$N$5</definedName>
    <definedName name="DTDTTB_CPTT">'Du thau LD'!$M$5</definedName>
    <definedName name="DTDTTB_DG">'Du thau LD'!$F$5</definedName>
    <definedName name="DTDTTB_DV">'Du thau LD'!$D$5</definedName>
    <definedName name="DTDTTB_G">'Du thau LD'!$P$5</definedName>
    <definedName name="DTDTTB_GTGT">'Du thau LD'!$Q$5</definedName>
    <definedName name="DTDTTB_KL">'Du thau LD'!$E$5</definedName>
    <definedName name="DTDTTB_M">'Du thau LD'!$K$5</definedName>
    <definedName name="DTDTTB_MH">'Du thau LD'!$B$5</definedName>
    <definedName name="DTDTTB_NC">'Du thau LD'!$J$5</definedName>
    <definedName name="DTDTTB_NT">'Du thau LD'!$R$5</definedName>
    <definedName name="DTDTTB_ST">'Du thau LD'!$S$5</definedName>
    <definedName name="DTDTTB_STT">'Du thau LD'!$A$5</definedName>
    <definedName name="DTDTTB_TENCV">'Du thau LD'!$C$5</definedName>
    <definedName name="DTDTTB_TL">'Du thau LD'!$O$5</definedName>
    <definedName name="DTDTTB_TT">'Du thau LD'!$G$5</definedName>
    <definedName name="DTDTTB_TTK">'Du thau LD'!$L$5</definedName>
    <definedName name="DTDTTB_VL">'Du thau LD'!$H$5</definedName>
    <definedName name="DTDTTB_VLP">'Du thau LD'!$I$5</definedName>
    <definedName name="DTDTXD_CPC">'Du thau'!$N$5</definedName>
    <definedName name="DTDTXD_CPTT">'Du thau'!$M$5</definedName>
    <definedName name="DTDTXD_DG">'Du thau'!$F$5</definedName>
    <definedName name="DTDTXD_DV">'Du thau'!$D$5</definedName>
    <definedName name="DTDTXD_G">'Du thau'!$P$5</definedName>
    <definedName name="DTDTXD_GTGT">'Du thau'!$Q$5</definedName>
    <definedName name="DTDTXD_KL">'Du thau'!$E$5</definedName>
    <definedName name="DTDTXD_M">'Du thau'!$K$5</definedName>
    <definedName name="DTDTXD_MH">'Du thau'!$B$5</definedName>
    <definedName name="DTDTXD_NC">'Du thau'!$J$5</definedName>
    <definedName name="DTDTXD_NT">'Du thau'!$R$5</definedName>
    <definedName name="DTDTXD_ST">'Du thau'!$S$5</definedName>
    <definedName name="DTDTXD_STT">'Du thau'!$A$5</definedName>
    <definedName name="DTDTXD_TENCV">'Du thau'!$C$5</definedName>
    <definedName name="DTDTXD_TL">'Du thau'!$O$5</definedName>
    <definedName name="DTDTXD_TT">'Du thau'!$G$5</definedName>
    <definedName name="DTDTXD_TTK">'Du thau'!$L$5</definedName>
    <definedName name="DTDTXD_VL">'Du thau'!$H$5</definedName>
    <definedName name="DTDTXD_VLP">'Du thau'!$I$5</definedName>
    <definedName name="DtrCuocPhun.1b">NhanCong!$M$327</definedName>
    <definedName name="DtrCuocPhun.2b">NhanCong!$M$328</definedName>
    <definedName name="DtrCuocPhun.3b">NhanCong!$M$329</definedName>
    <definedName name="DtrCuocPhun.4b">NhanCong!$M$330</definedName>
    <definedName name="DtrHutCuoc300.1s">NhanCong!$M$264</definedName>
    <definedName name="DtrHutCuoc300.2s">NhanCong!$M$265</definedName>
    <definedName name="DTTB_BP">'Dutoan lap dat'!$P$5</definedName>
    <definedName name="DTTB_CAO">'Dutoan lap dat'!$S$6</definedName>
    <definedName name="DTTB_DAI">'Dutoan lap dat'!$Q$6</definedName>
    <definedName name="DTTB_DM">'Dutoan lap dat'!$C$5</definedName>
    <definedName name="DTTB_DV">'Dutoan lap dat'!$F$5</definedName>
    <definedName name="DTTB_GHC">'Dutoan lap dat'!$W$5</definedName>
    <definedName name="DTTB_HS">'Dutoan lap dat'!$T$5</definedName>
    <definedName name="DTTB_KL">'Dutoan lap dat'!$G$5</definedName>
    <definedName name="DTTB_KLBP">'Dutoan lap dat'!$U$5</definedName>
    <definedName name="DTTB_KLTB">'Dutoan lap dat'!$V$5</definedName>
    <definedName name="DTTB_M">'Dutoan lap dat'!$O$6</definedName>
    <definedName name="DTTB_MCT">'Dutoan lap dat'!$AA$5</definedName>
    <definedName name="DTTB_MG">'Dutoan lap dat'!$K$6</definedName>
    <definedName name="DTTB_MH">'Dutoan lap dat'!$D$5</definedName>
    <definedName name="DTTB_MV">'Dutoan lap dat'!$B$5</definedName>
    <definedName name="DTTB_NC">'Dutoan lap dat'!$N$6</definedName>
    <definedName name="DTTB_NCCT">'Dutoan lap dat'!$Z$5</definedName>
    <definedName name="DTTB_NCG">'Dutoan lap dat'!$J$6</definedName>
    <definedName name="DTTB_RONG">'Dutoan lap dat'!$R$6</definedName>
    <definedName name="DTTB_STT">'Dutoan lap dat'!$A$5</definedName>
    <definedName name="DTTB_TENCV">'Dutoan lap dat'!$E$5</definedName>
    <definedName name="DTTB_VL">'Dutoan lap dat'!$L$6</definedName>
    <definedName name="DTTB_VLCT">'Dutoan lap dat'!$X$5</definedName>
    <definedName name="DTTB_VLG">'Dutoan lap dat'!$H$6</definedName>
    <definedName name="DTTB_VLP">'Dutoan lap dat'!$M$6</definedName>
    <definedName name="DTTB_VLPCT">'Dutoan lap dat'!$Y$5</definedName>
    <definedName name="DTTB_VLPG">'Dutoan lap dat'!$I$6</definedName>
    <definedName name="DTXD_BP">'Dutoan XD'!$P$5</definedName>
    <definedName name="DTXD_CAO">'Dutoan XD'!$S$6</definedName>
    <definedName name="DTXD_DAI">'Dutoan XD'!$Q$6</definedName>
    <definedName name="DTXD_DM">'Dutoan XD'!$C$5</definedName>
    <definedName name="DTXD_DV">'Dutoan XD'!$F$5</definedName>
    <definedName name="DTXD_GHC">'Dutoan XD'!$W$5</definedName>
    <definedName name="DTXD_HS">'Dutoan XD'!$T$5</definedName>
    <definedName name="DTXD_KL">'Dutoan XD'!$G$5</definedName>
    <definedName name="DTXD_KLBP">'Dutoan XD'!$U$5</definedName>
    <definedName name="DTXD_KLTB">'Dutoan XD'!$V$5</definedName>
    <definedName name="DTXD_M">'Dutoan XD'!$O$6</definedName>
    <definedName name="DTXD_MCT">'Dutoan XD'!$AA$6</definedName>
    <definedName name="DTXD_MG">'Dutoan XD'!$K$6</definedName>
    <definedName name="DTXD_MH">'Dutoan XD'!$D$5</definedName>
    <definedName name="DTXD_MV">'Dutoan XD'!$B$5</definedName>
    <definedName name="DTXD_NC">'Dutoan XD'!$N$6</definedName>
    <definedName name="DTXD_NCCT">'Dutoan XD'!$Z$6</definedName>
    <definedName name="DTXD_NCG">'Dutoan XD'!$J$6</definedName>
    <definedName name="DTXD_RONG">'Dutoan XD'!$R$6</definedName>
    <definedName name="DTXD_STT">'Dutoan XD'!$A$5</definedName>
    <definedName name="DTXD_TENCV">'Dutoan XD'!$E$5</definedName>
    <definedName name="DTXD_VL">'Dutoan XD'!$L$6</definedName>
    <definedName name="DTXD_VLCT">'Dutoan XD'!$X$6</definedName>
    <definedName name="DTXD_VLG">'Dutoan XD'!$H$6</definedName>
    <definedName name="DTXD_VLP">'Dutoan XD'!$M$6</definedName>
    <definedName name="DTXD_VLPCT">'Dutoan XD'!$Y$6</definedName>
    <definedName name="DTXD_VLPG">'Dutoan XD'!$I$6</definedName>
    <definedName name="FiLL" localSheetId="25" hidden="1">#REF!</definedName>
    <definedName name="FiLL" localSheetId="24" hidden="1">#REF!</definedName>
    <definedName name="FiLL" localSheetId="43" hidden="1">#REF!</definedName>
    <definedName name="FiLL" hidden="1">#REF!</definedName>
    <definedName name="GCMTB_CA">'Gia ca may LD'!$D$5</definedName>
    <definedName name="GCMTB_CBT">'Gia ca may LD'!$L$5</definedName>
    <definedName name="GCMTB_CPK">'Gia ca may LD'!$R$5</definedName>
    <definedName name="GCMTB_CPKG">'Gia ca may LD'!$V$6</definedName>
    <definedName name="GCMTB_CPKH">'Gia ca may LD'!$N$5</definedName>
    <definedName name="GCMTB_CPKHG">'Gia ca may LD'!$T$6</definedName>
    <definedName name="GCMTB_CPNL">'Gia ca may LD'!$P$5</definedName>
    <definedName name="GCMTB_CPNLDC">'Gia ca may LD'!$AB$5</definedName>
    <definedName name="GCMTB_CPNLG">'Gia ca may LD'!$W$5</definedName>
    <definedName name="GCMTB_CPSC">'Gia ca may LD'!$O$5</definedName>
    <definedName name="GCMTB_CPSCG">'Gia ca may LD'!$U$6</definedName>
    <definedName name="GCMTB_CPTL">'Gia ca may LD'!$Q$5</definedName>
    <definedName name="GCMTB_CPTLDC">'Gia ca may LD'!$AC$5</definedName>
    <definedName name="GCMTB_CPTLG">'Gia ca may LD'!$X$5</definedName>
    <definedName name="GCMTB_DAUDO">'Gia ca may LD'!$AN$1</definedName>
    <definedName name="GCMTB_DAUHOA">'Gia ca may LD'!$AM$1</definedName>
    <definedName name="GCMTB_DIEN">'Gia ca may LD'!$AK$1</definedName>
    <definedName name="GCMTB_DIEZEL">'Gia ca may LD'!$AJ$1</definedName>
    <definedName name="GCMTB_DMK">'Gia ca may LD'!$H$6</definedName>
    <definedName name="GCMTB_DMKH">'Gia ca may LD'!$E$6</definedName>
    <definedName name="GCMTB_DMSC">'Gia ca may LD'!$G$6</definedName>
    <definedName name="GCMTB_DMTH">'Gia ca may LD'!$I$4</definedName>
    <definedName name="GCMTB_GCM">'Gia ca may LD'!$S$5</definedName>
    <definedName name="GCMTB_GCMDC">'Gia ca may LD'!$AG$5</definedName>
    <definedName name="GCMTB_GCMG">'Gia ca may LD'!$AA$5</definedName>
    <definedName name="GCMTB_HSDCNG">'Gia ca may LD'!$AD$5</definedName>
    <definedName name="GCMTB_HSDCNL">'Gia ca may LD'!$AE$5</definedName>
    <definedName name="GCMTB_HSDCTL">'Gia ca may LD'!$AF$5</definedName>
    <definedName name="GCMTB_HSP">'Gia ca may LD'!$K$5</definedName>
    <definedName name="GCMTB_HSTH">'Gia ca may LD'!$F$6</definedName>
    <definedName name="GCMTB_MADUT">'Gia ca may LD'!$AL$1</definedName>
    <definedName name="GCMTB_MH">'Gia ca may LD'!$B$5</definedName>
    <definedName name="GCMTB_NG">'Gia ca may LD'!$M$5</definedName>
    <definedName name="GCMTB_NGDC">'Gia ca may LD'!$Z$5</definedName>
    <definedName name="GCMTB_NGG">'Gia ca may LD'!$Y$5</definedName>
    <definedName name="GCMTB_STT">'Gia ca may LD'!$A$5</definedName>
    <definedName name="GCMTB_TENM">'Gia ca may LD'!$C$5</definedName>
    <definedName name="GCMTB_THNL">'Gia ca may LD'!$J$4</definedName>
    <definedName name="GCMTB_XANG">'Gia ca may LD'!$AI$1</definedName>
    <definedName name="GCMXD_CA">'Gia ca may'!$D$5</definedName>
    <definedName name="GCMXD_CBT">'Gia ca may'!$L$5</definedName>
    <definedName name="GCMXD_CPK">'Gia ca may'!$R$5</definedName>
    <definedName name="GCMXD_CPKG">'Gia ca may'!$V$6</definedName>
    <definedName name="GCMXD_CPKH">'Gia ca may'!$N$5</definedName>
    <definedName name="GCMXD_CPKHG">'Gia ca may'!$T$6</definedName>
    <definedName name="GCMXD_CPNL">'Gia ca may'!$P$5</definedName>
    <definedName name="GCMXD_CPNLDC">'Gia ca may'!$AB$5</definedName>
    <definedName name="GCMXD_CPNLG">'Gia ca may'!$W$5</definedName>
    <definedName name="GCMXD_CPSC">'Gia ca may'!$O$5</definedName>
    <definedName name="GCMXD_CPSCG">'Gia ca may'!$U$6</definedName>
    <definedName name="GCMXD_CPTL">'Gia ca may'!$Q$5</definedName>
    <definedName name="GCMXD_CPTLDC">'Gia ca may'!$AC$5</definedName>
    <definedName name="GCMXD_CPTLG">'Gia ca may'!$X$5</definedName>
    <definedName name="GCMXD_DAUDO">'Gia ca may'!$AN$1</definedName>
    <definedName name="GCMXD_DAUHOA">'Gia ca may'!$AM$1</definedName>
    <definedName name="GCMXD_DIEN">'Gia ca may'!$AK$1</definedName>
    <definedName name="GCMXD_DIEZEL">'Gia ca may'!$AJ$1</definedName>
    <definedName name="GCMXD_DMK">'Gia ca may'!$H$6</definedName>
    <definedName name="GCMXD_DMKH">'Gia ca may'!$E$6</definedName>
    <definedName name="GCMXD_DMSC">'Gia ca may'!$G$6</definedName>
    <definedName name="GCMXD_DMTH">'Gia ca may'!$I$1</definedName>
    <definedName name="GCMXD_GCM">'Gia ca may'!$S$5</definedName>
    <definedName name="GCMXD_GCMDC">'Gia ca may'!$AG$5</definedName>
    <definedName name="GCMXD_GCMG">'Gia ca may'!$AA$5</definedName>
    <definedName name="GCMXD_HSDCNG">'Gia ca may'!$AD$5</definedName>
    <definedName name="GCMXD_HSDCNL">'Gia ca may'!$AE$5</definedName>
    <definedName name="GCMXD_HSDCTL">'Gia ca may'!$AF$5</definedName>
    <definedName name="GCMXD_HSP">'Gia ca may'!$K$5</definedName>
    <definedName name="GCMXD_HSTH">'Gia ca may'!$F$6</definedName>
    <definedName name="GCMXD_MADUT">'Gia ca may'!$AL$1</definedName>
    <definedName name="GCMXD_MH">'Gia ca may'!$B$5</definedName>
    <definedName name="GCMXD_NG">'Gia ca may'!$M$5</definedName>
    <definedName name="GCMXD_NGDC">'Gia ca may'!$Z$5</definedName>
    <definedName name="GCMXD_NGG">'Gia ca may'!$Y$5</definedName>
    <definedName name="GCMXD_STT">'Gia ca may'!$A$5</definedName>
    <definedName name="GCMXD_TENM">'Gia ca may'!$C$5</definedName>
    <definedName name="GCMXD_THNL">'Gia ca may'!$J$1</definedName>
    <definedName name="GCMXD_XANG">'Gia ca may'!$AI$1</definedName>
    <definedName name="GLD_CT">'Lap dat'!$C$5</definedName>
    <definedName name="GLD_GT1">'Lap dat'!$D$5</definedName>
    <definedName name="GLD_HS1">'Lap dat'!$F$5</definedName>
    <definedName name="GLD_HS2">'Lap dat'!$G$5</definedName>
    <definedName name="GLD_KH">'Lap dat'!$E$5</definedName>
    <definedName name="GLD_KM">'Lap dat'!$B$5</definedName>
    <definedName name="GLD_STT">'Lap dat'!$A$5</definedName>
    <definedName name="GMTB_cot19">'Gia ca may LD'!$S$1</definedName>
    <definedName name="GMTB_cot33">'Gia ca may LD'!$AG$1</definedName>
    <definedName name="GMXD_cot18">'Gia ca may'!$S$1</definedName>
    <definedName name="GMXD_cot33">'Gia ca may'!$AG$1</definedName>
    <definedName name="GTRVLTB_DG" localSheetId="43">'Vật tư điều chỉnh thiết bị'!$F$5</definedName>
    <definedName name="GTRVLTB_DV" localSheetId="43">'Vật tư điều chỉnh thiết bị'!$D$5</definedName>
    <definedName name="GTRVLTB_KL" localSheetId="43">'Vật tư điều chỉnh thiết bị'!$E$5</definedName>
    <definedName name="GTRVLTB_MVT" localSheetId="43">'Vật tư điều chỉnh thiết bị'!$B$5</definedName>
    <definedName name="GTRVLTB_STT" localSheetId="43">'Vật tư điều chỉnh thiết bị'!$A$5</definedName>
    <definedName name="GTRVLTB_TEN" localSheetId="43">'Vật tư điều chỉnh thiết bị'!$C$5</definedName>
    <definedName name="GTRVLTB_TLE" localSheetId="43">'Vật tư điều chỉnh thiết bị'!$H$5</definedName>
    <definedName name="GTRVLTB_TT" localSheetId="43">'Vật tư điều chỉnh thiết bị'!$G$5</definedName>
    <definedName name="GTRVLTB_TTRN" localSheetId="43">'Vật tư điều chỉnh thiết bị'!$I$5</definedName>
    <definedName name="GTRVLXD_DG">'Vật tư điều chỉnh xây dựng'!$F$5</definedName>
    <definedName name="GTRVLXD_DV">'Vật tư điều chỉnh xây dựng'!$D$5</definedName>
    <definedName name="GTRVLXD_KL">'Vật tư điều chỉnh xây dựng'!$E$5</definedName>
    <definedName name="GTRVLXD_KLK">'Vật tư điều chỉnh xây dựng'!$J$5</definedName>
    <definedName name="GTRVLXD_MVT">'Vật tư điều chỉnh xây dựng'!$B$5</definedName>
    <definedName name="GTRVLXD_STT">'Vật tư điều chỉnh xây dựng'!$A$5</definedName>
    <definedName name="GTRVLXD_TEN">'Vật tư điều chỉnh xây dựng'!$C$5</definedName>
    <definedName name="GTRVLXD_TLE">'Vật tư điều chỉnh xây dựng'!$H$5</definedName>
    <definedName name="GTRVLXD_TT">'Vật tư điều chỉnh xây dựng'!$G$5</definedName>
    <definedName name="GTRVLXD_TTK">'Vật tư điều chỉnh xây dựng'!$K$5</definedName>
    <definedName name="GTRVLXD_TTRN">'Vật tư điều chỉnh xây dựng'!$I$5</definedName>
    <definedName name="GVTTB_DG">'GVT TB'!$F$5</definedName>
    <definedName name="GVTTB_DV">'GVT TB'!$D$5</definedName>
    <definedName name="GVTTB_KL">'GVT TB'!$E$5</definedName>
    <definedName name="GVTTB_KLK">'GVT TB'!$H$5</definedName>
    <definedName name="GVTTB_MH">'GVT TB'!$B$5</definedName>
    <definedName name="GVTTB_STT">'GVT TB'!$A$5</definedName>
    <definedName name="GVTTB_TENVT">'GVT TB'!$C$5</definedName>
    <definedName name="GVTTB_TT">'GVT TB'!$G$5</definedName>
    <definedName name="GVTTB_TTK">'GVT TB'!$I$5</definedName>
    <definedName name="GVTXD_DG">'Gia tri vat tu'!$F$5</definedName>
    <definedName name="GVTXD_DV">'Gia tri vat tu'!$D$5</definedName>
    <definedName name="GVTXD_KL">'Gia tri vat tu'!$E$5</definedName>
    <definedName name="GVTXD_KLK">'Gia tri vat tu'!$H$5</definedName>
    <definedName name="GVTXD_MH">'Gia tri vat tu'!$B$5</definedName>
    <definedName name="GVTXD_STT">'Gia tri vat tu'!$A$5</definedName>
    <definedName name="GVTXD_TENVT">'Gia tri vat tu'!$C$5</definedName>
    <definedName name="GVTXD_TT">'Gia tri vat tu'!$G$5</definedName>
    <definedName name="GVTXD_TTK">'Gia tri vat tu'!$I$5</definedName>
    <definedName name="GXD_CT">'CP xay dung'!$C$5</definedName>
    <definedName name="GXD_GT1">'CP xay dung'!$D$5</definedName>
    <definedName name="GXD_HS1">'CP xay dung'!$F$5</definedName>
    <definedName name="GXD_HS2">'CP xay dung'!$G$5</definedName>
    <definedName name="GXD_KH">'CP xay dung'!$E$5</definedName>
    <definedName name="GXD_KM">'CP xay dung'!$B$5</definedName>
    <definedName name="GXD_STT">'CP xay dung'!$A$5</definedName>
    <definedName name="h" localSheetId="44" hidden="1">{"'Sheet1'!$L$16"}</definedName>
    <definedName name="h" localSheetId="19" hidden="1">{"'Sheet1'!$L$16"}</definedName>
    <definedName name="h" localSheetId="43" hidden="1">{"'Sheet1'!$L$16"}</definedName>
    <definedName name="h" localSheetId="18" hidden="1">{"'Sheet1'!$L$16"}</definedName>
    <definedName name="h" hidden="1">{"'Sheet1'!$L$16"}</definedName>
    <definedName name="hhhhhu" hidden="1">{"'Sheet1'!$L$16"}</definedName>
    <definedName name="HTML_CodePage" hidden="1">950</definedName>
    <definedName name="HTML_Control" localSheetId="44" hidden="1">{"'Sheet1'!$L$16"}</definedName>
    <definedName name="HTML_Control" localSheetId="19" hidden="1">{"'Sheet1'!$L$16"}</definedName>
    <definedName name="HTML_Control" localSheetId="43" hidden="1">{"'Sheet1'!$L$16"}</definedName>
    <definedName name="HTML_Control" localSheetId="18"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44" hidden="1">{"'Sheet1'!$L$16"}</definedName>
    <definedName name="huy" localSheetId="19" hidden="1">{"'Sheet1'!$L$16"}</definedName>
    <definedName name="huy" localSheetId="43" hidden="1">{"'Sheet1'!$L$16"}</definedName>
    <definedName name="huy" localSheetId="18" hidden="1">{"'Sheet1'!$L$16"}</definedName>
    <definedName name="huy" hidden="1">{"'Sheet1'!$L$16"}</definedName>
    <definedName name="iCt_End">'Don gia chi tiet'!$A$8</definedName>
    <definedName name="k" localSheetId="44" hidden="1">{"Offgrid",#N/A,FALSE,"OFFGRID";"Region",#N/A,FALSE,"REGION";"Offgrid -2",#N/A,FALSE,"OFFGRID";"WTP",#N/A,FALSE,"WTP";"WTP -2",#N/A,FALSE,"WTP";"Project",#N/A,FALSE,"PROJECT";"Summary -2",#N/A,FALSE,"SUMMARY"}</definedName>
    <definedName name="k" localSheetId="19" hidden="1">{"Offgrid",#N/A,FALSE,"OFFGRID";"Region",#N/A,FALSE,"REGION";"Offgrid -2",#N/A,FALSE,"OFFGRID";"WTP",#N/A,FALSE,"WTP";"WTP -2",#N/A,FALSE,"WTP";"Project",#N/A,FALSE,"PROJECT";"Summary -2",#N/A,FALSE,"SUMMARY"}</definedName>
    <definedName name="k" localSheetId="43" hidden="1">{"Offgrid",#N/A,FALSE,"OFFGRID";"Region",#N/A,FALSE,"REGION";"Offgrid -2",#N/A,FALSE,"OFFGRID";"WTP",#N/A,FALSE,"WTP";"WTP -2",#N/A,FALSE,"WTP";"Project",#N/A,FALSE,"PROJECT";"Summary -2",#N/A,FALSE,"SUMMARY"}</definedName>
    <definedName name="k" localSheetId="18" hidden="1">{"Offgrid",#N/A,FALSE,"OFFGRID";"Region",#N/A,FALSE,"REGION";"Offgrid -2",#N/A,FALSE,"OFFGRID";"WTP",#N/A,FALSE,"WTP";"WTP -2",#N/A,FALSE,"WTP";"Project",#N/A,FALSE,"PROJECT";"Summary -2",#N/A,FALSE,"SUMMARY"}</definedName>
    <definedName name="k" hidden="1">{"Offgrid",#N/A,FALSE,"OFFGRID";"Region",#N/A,FALSE,"REGION";"Offgrid -2",#N/A,FALSE,"OFFGRID";"WTP",#N/A,FALSE,"WTP";"WTP -2",#N/A,FALSE,"WTP";"Project",#N/A,FALSE,"PROJECT";"Summary -2",#N/A,FALSE,"SUMMARY"}</definedName>
    <definedName name="khoantructiep">Ts!$C$26</definedName>
    <definedName name="KhongOndinhSX">Ts!$C$27</definedName>
    <definedName name="khuvuc">Ts!$C$28</definedName>
    <definedName name="LCT">'QD957'!$D$5</definedName>
    <definedName name="lduong">Ts!$R$11:$R$16</definedName>
    <definedName name="LTTC">Ts!$C$22</definedName>
    <definedName name="LTTV">Ts!$C$23</definedName>
    <definedName name="luongphu">Ts!$C$25</definedName>
    <definedName name="luudong">Ts!$C$24</definedName>
    <definedName name="Lx.1165">NhanCong!$M$120</definedName>
    <definedName name="Lx.125">NhanCong!$M$125</definedName>
    <definedName name="Lx.135">NhanCong!$M$110</definedName>
    <definedName name="Lx.140">NhanCong!$M$130</definedName>
    <definedName name="Lx.150">NhanCong!$M$135</definedName>
    <definedName name="Lx.175">NhanCong!$M$115</definedName>
    <definedName name="Lx.2165">NhanCong!$M$121</definedName>
    <definedName name="Lx.225">NhanCong!$M$126</definedName>
    <definedName name="Lx.235">NhanCong!$M$111</definedName>
    <definedName name="Lx.240">NhanCong!$M$131</definedName>
    <definedName name="Lx.250">NhanCong!$M$136</definedName>
    <definedName name="Lx.275">NhanCong!$M$116</definedName>
    <definedName name="Lx.3165">NhanCong!$M$122</definedName>
    <definedName name="Lx.325">NhanCong!$M$127</definedName>
    <definedName name="Lx.335">NhanCong!$M$112</definedName>
    <definedName name="Lx.340">NhanCong!$M$132</definedName>
    <definedName name="Lx.350">NhanCong!$M$137</definedName>
    <definedName name="Lx.375">NhanCong!$M$117</definedName>
    <definedName name="Lx.4165">NhanCong!$M$123</definedName>
    <definedName name="Lx.425">NhanCong!$M$128</definedName>
    <definedName name="Lx.435">NhanCong!$M$113</definedName>
    <definedName name="Lx.440">NhanCong!$M$133</definedName>
    <definedName name="Lx.450">NhanCong!$M$138</definedName>
    <definedName name="Lx.475">NhanCong!$M$118</definedName>
    <definedName name="M2KtvCuoc1.1s">NhanCong!$M$267</definedName>
    <definedName name="M2KtvCuoc1.2s">NhanCong!$M$268</definedName>
    <definedName name="M2KtvCuoc1.3s">NhanCong!$M$269</definedName>
    <definedName name="M2KtvCuoc1.4s">NhanCong!$M$270</definedName>
    <definedName name="M2KtvCuoc1.5s">NhanCong!$M$271</definedName>
    <definedName name="M2KtvCuoc1.6s">NhanCong!$M$272</definedName>
    <definedName name="M3KtvCuoc2.1s">NhanCong!$M$274</definedName>
    <definedName name="M3KtvCuoc2.2s">NhanCong!$M$275</definedName>
    <definedName name="M3KtvCuoc2.3s">NhanCong!$M$276</definedName>
    <definedName name="M3KtvCuoc2.4s">NhanCong!$M$277</definedName>
    <definedName name="M3KtvCuoc2.5s">NhanCong!$M$278</definedName>
    <definedName name="M3KtvCuoc2.6s">NhanCong!$M$279</definedName>
    <definedName name="M4KtvCuoc3.1s">NhanCong!$M$281</definedName>
    <definedName name="M4KtvCuoc3.2s">NhanCong!$M$282</definedName>
    <definedName name="mazut">Ts!$C$37</definedName>
    <definedName name="MCKhi.1b">NhanCong!$M$354</definedName>
    <definedName name="MCKhi.2b">NhanCong!$M$355</definedName>
    <definedName name="MCKhi.3b">NhanCong!$M$356</definedName>
    <definedName name="MCKhi.4b">NhanCong!$M$357</definedName>
    <definedName name="Mtr.1s">NhanCong!$M$256</definedName>
    <definedName name="Mtr.2s">NhanCong!$M$257</definedName>
    <definedName name="Mtr.3s">NhanCong!$M$258</definedName>
    <definedName name="Mtr.4s">NhanCong!$M$259</definedName>
    <definedName name="Mtr.5s">NhanCong!$M$260</definedName>
    <definedName name="Mtr.6s">NhanCong!$M$261</definedName>
    <definedName name="MtrTtrCuocPhun.1b">NhanCong!$M$321</definedName>
    <definedName name="MtrTtrCuocPhun.2b">NhanCong!$M$322</definedName>
    <definedName name="MtrTtrCuocPhun.3b">NhanCong!$M$323</definedName>
    <definedName name="MtrTtrCuocPhun.4b">NhanCong!$M$324</definedName>
    <definedName name="N104TMDvb">NhanCong!$M$359</definedName>
    <definedName name="N104TMDvs">NhanCong!$M$288</definedName>
    <definedName name="N104TTvb">NhanCong!$M$364</definedName>
    <definedName name="N104TTvs">NhanCong!$M$293</definedName>
    <definedName name="N204TMDvb">NhanCong!$M$360</definedName>
    <definedName name="N204TMDvs">NhanCong!$M$289</definedName>
    <definedName name="N204TTvb">NhanCong!$M$365</definedName>
    <definedName name="N204TTvs">NhanCong!$M$294</definedName>
    <definedName name="N28108ks">NhanCong!$M$381</definedName>
    <definedName name="N28208ks">NhanCong!$M$382</definedName>
    <definedName name="N28308ks">NhanCong!$M$383</definedName>
    <definedName name="N28408ks">NhanCong!$M$384</definedName>
    <definedName name="N28458ks">NhanCong!$M$385</definedName>
    <definedName name="N28508ks">NhanCong!$M$386</definedName>
    <definedName name="N28608ks">NhanCong!$M$387</definedName>
    <definedName name="N28708ks">NhanCong!$M$388</definedName>
    <definedName name="N28808ks">NhanCong!$M$389</definedName>
    <definedName name="N304TMDvb">NhanCong!$M$361</definedName>
    <definedName name="N304TMDvs">NhanCong!$M$290</definedName>
    <definedName name="N304TTvb">NhanCong!$M$366</definedName>
    <definedName name="N304TTvs">NhanCong!$M$295</definedName>
    <definedName name="N404TMDvb">NhanCong!$M$362</definedName>
    <definedName name="N404TMDvs">NhanCong!$M$291</definedName>
    <definedName name="N404TTvb">NhanCong!$M$367</definedName>
    <definedName name="N404TTvs">NhanCong!$M$296</definedName>
    <definedName name="NCTB_CB">'Nhan cong LD'!$D$12</definedName>
    <definedName name="NCTB_CBL">'Nhan cong LD'!$F$12</definedName>
    <definedName name="NCTB_CD">'Nhan cong LD'!$M$13</definedName>
    <definedName name="NCTB_DB">'Nhan cong LD'!$L$13</definedName>
    <definedName name="NCTB_HSL">'Nhan cong LD'!$E$12</definedName>
    <definedName name="NCTB_KSX">'Nhan cong LD'!$J$13</definedName>
    <definedName name="NCTB_KTT">'Nhan cong LD'!$I$13</definedName>
    <definedName name="NCTB_LNC">'Nhan cong LD'!$C$12</definedName>
    <definedName name="NCTB_LP">'Nhan cong LD'!$H$13</definedName>
    <definedName name="NCTB_MH">'Nhan cong LD'!$B$12</definedName>
    <definedName name="NCTB_PC">'Nhan cong LD'!$G$12</definedName>
    <definedName name="NCTB_STT">'Nhan cong LD'!$A$12</definedName>
    <definedName name="NCTB_T">'Nhan cong LD'!$N$12</definedName>
    <definedName name="NCTB_TH">'Nhan cong LD'!$K$13</definedName>
    <definedName name="NCXD_CB">'Nhan cong'!$D$12</definedName>
    <definedName name="NCXD_CBL">'Nhan cong'!$F$12</definedName>
    <definedName name="NCXD_CD">'Nhan cong'!$M$13</definedName>
    <definedName name="NCXD_DB">'Nhan cong'!$L$13</definedName>
    <definedName name="NCXD_HSL">'Nhan cong'!$E$12</definedName>
    <definedName name="NCXD_KSX">'Nhan cong'!$J$13</definedName>
    <definedName name="NCXD_KTT">'Nhan cong'!$I$13</definedName>
    <definedName name="NCXD_LNC">'Nhan cong'!$C$12</definedName>
    <definedName name="NCXD_LP">'Nhan cong'!$H$13</definedName>
    <definedName name="NCXD_MH">'Nhan cong'!$B$12</definedName>
    <definedName name="NCXD_PC">'Nhan cong'!$G$12</definedName>
    <definedName name="NCXD_STT">'Nhan cong'!$A$12</definedName>
    <definedName name="NCXD_T">'Nhan cong'!$N$12</definedName>
    <definedName name="NCXD_TH">'Nhan cong'!$K$13</definedName>
    <definedName name="Nvb104b">NhanCong!$M$369</definedName>
    <definedName name="Nvb204b">NhanCong!$M$370</definedName>
    <definedName name="Nvb274b">NhanCong!$M$371</definedName>
    <definedName name="Nvb304b">NhanCong!$M$372</definedName>
    <definedName name="Nvb404b">NhanCong!$M$373</definedName>
    <definedName name="Nvs104s">NhanCong!$M$298</definedName>
    <definedName name="Nvs204s">NhanCong!$M$299</definedName>
    <definedName name="Nvs274s">NhanCong!$M$300</definedName>
    <definedName name="Nvs304s">NhanCong!$M$301</definedName>
    <definedName name="Nvs404s">NhanCong!$M$302</definedName>
    <definedName name="Phucvu.1b">NhanCong!$M$160</definedName>
    <definedName name="Phucvu.1s">NhanCong!$M$193</definedName>
    <definedName name="Phucvu.2b">NhanCong!$M$161</definedName>
    <definedName name="Phucvu.2s">NhanCong!$M$194</definedName>
    <definedName name="Phucvu.3b">NhanCong!$M$162</definedName>
    <definedName name="Phucvu.3s">NhanCong!$M$195</definedName>
    <definedName name="Phucvu.4b">NhanCong!$M$163</definedName>
    <definedName name="Phucvu.4s">NhanCong!$M$196</definedName>
    <definedName name="PLVTB_DG">'PLV lap dat'!$G$5</definedName>
    <definedName name="PLVTB_DM">'PLV lap dat'!$F$5</definedName>
    <definedName name="PLVTB_DV">'PLV lap dat'!$E$5</definedName>
    <definedName name="PLVTB_LVT">'PLV lap dat'!$D$5</definedName>
    <definedName name="PLVTB_MV">'PLV lap dat'!$B$5</definedName>
    <definedName name="PLVTB_MVT">'PLV lap dat'!$C$5</definedName>
    <definedName name="PLVTB_STT">'PLV lap dat'!$A$5</definedName>
    <definedName name="PLVTB_TT">'PLV lap dat'!$H$5</definedName>
    <definedName name="PLVXD_DG">'Gia vua'!$G$5</definedName>
    <definedName name="PLVXD_DM">'Gia vua'!$F$5</definedName>
    <definedName name="PLVXD_DV">'Gia vua'!$E$5</definedName>
    <definedName name="PLVXD_LVT">'Gia vua'!$D$5</definedName>
    <definedName name="PLVXD_MV">'Gia vua'!$B$5</definedName>
    <definedName name="PLVXD_MVT">'Gia vua'!$C$5</definedName>
    <definedName name="PLVXD_STT">'Gia vua'!$A$5</definedName>
    <definedName name="PLVXD_TT">'Gia vua'!$H$5</definedName>
    <definedName name="_xlnm.Print_Area" localSheetId="25">'Cp khac'!$A$1:$G$25</definedName>
    <definedName name="_xlnm.Print_Area" localSheetId="30">'CP mua sam tbi'!$A$1:$H$21</definedName>
    <definedName name="_xlnm.Print_Area" localSheetId="24">'CP tu van'!$A$1:$G$45</definedName>
    <definedName name="_xlnm.Print_Area" localSheetId="7">'CP xay dung'!$A$1:$E$36</definedName>
    <definedName name="_xlnm.Print_Area" localSheetId="34">'Dutoan lap dat'!$A:$O</definedName>
    <definedName name="_xlnm.Print_Area" localSheetId="8">'Dutoan XD'!$A:$O</definedName>
    <definedName name="_xlnm.Print_Area" localSheetId="33">'Lap dat'!$A$1:$E$35</definedName>
    <definedName name="_xlnm.Print_Area" localSheetId="27">'QD957'!$B$1:$H$29</definedName>
    <definedName name="_xlnm.Print_Area" localSheetId="29">'TH CP thiet bi'!$A$1:$F$20</definedName>
    <definedName name="_xlnm.Print_Area" localSheetId="3">TM!$C:$L</definedName>
    <definedName name="_xlnm.Print_Area" localSheetId="5">'Tong hop kinh phi'!$A$1:$G$22</definedName>
    <definedName name="_xlnm.Print_Area" localSheetId="1">Ts!$A$1:$C$49</definedName>
    <definedName name="_xlnm.Print_Titles" localSheetId="31">'CP dao tao'!$5:$5</definedName>
    <definedName name="_xlnm.Print_Titles" localSheetId="30">'CP mua sam tbi'!$5:$5</definedName>
    <definedName name="_xlnm.Print_Titles" localSheetId="10">'Don gia chi tiet'!$5:$5</definedName>
    <definedName name="_xlnm.Print_Titles" localSheetId="35">'Don gia lap dat'!$5:$5</definedName>
    <definedName name="_xlnm.Print_Titles" localSheetId="20">'Du thau'!$5:$5</definedName>
    <definedName name="_xlnm.Print_Titles" localSheetId="45">'Du thau LD'!$5:$5</definedName>
    <definedName name="_xlnm.Print_Titles" localSheetId="34">'Dutoan lap dat'!$5:$6</definedName>
    <definedName name="_xlnm.Print_Titles" localSheetId="8">'Dutoan XD'!$5:$6</definedName>
    <definedName name="_xlnm.Print_Titles" localSheetId="16">'Gia ca may'!$5:$6</definedName>
    <definedName name="_xlnm.Print_Titles" localSheetId="41">'Gia ca may LD'!$5:$6</definedName>
    <definedName name="_xlnm.Print_Titles" localSheetId="13">'Gia vat lieu'!$5:$6</definedName>
    <definedName name="_xlnm.Print_Titles" localSheetId="14">'Gia vua'!$5:$5</definedName>
    <definedName name="_xlnm.Print_Titles" localSheetId="33">'Lap dat'!$5:$5</definedName>
    <definedName name="_xlnm.Print_Titles" localSheetId="15">'Nhan cong'!$12:$14</definedName>
    <definedName name="_xlnm.Print_Titles" localSheetId="40">'Nhan cong LD'!$12:$14</definedName>
    <definedName name="_xlnm.Print_Titles" localSheetId="49">NhanCong!$12:$14</definedName>
    <definedName name="_xlnm.Print_Titles" localSheetId="42">NhienlieuTB!$5:$6</definedName>
    <definedName name="_xlnm.Print_Titles" localSheetId="17">NhienlieuXD!$5:$6</definedName>
    <definedName name="_xlnm.Print_Titles" localSheetId="36">'TH&amp;Chenh lech LD'!$5:$5</definedName>
    <definedName name="_xlnm.Print_Titles" localSheetId="12">'Tong hop &amp; Chenh lech'!$5:$5</definedName>
    <definedName name="_xlnm.Print_Titles" localSheetId="38">'VL hien truong LD'!$5:$6</definedName>
    <definedName name="_xlnm.Print_Titles" localSheetId="37">'VLSG TB'!$5:$6</definedName>
    <definedName name="_xlnm.Print_Titles" localSheetId="11">'VLSG XD'!$5:$6</definedName>
    <definedName name="QTtrTTtr.1b">NhanCong!$M$348</definedName>
    <definedName name="QTtrTTtr.1s">NhanCong!$M$284</definedName>
    <definedName name="QTtrTTtr.2b">NhanCong!$M$349</definedName>
    <definedName name="QTtrTTtr.2s">NhanCong!$M$285</definedName>
    <definedName name="QTtrTTtr.3b">NhanCong!$M$350</definedName>
    <definedName name="QTtrTTtr.4b">NhanCong!$M$351</definedName>
    <definedName name="ssssssss" hidden="1">{"Offgrid",#N/A,FALSE,"OFFGRID";"Region",#N/A,FALSE,"REGION";"Offgrid -2",#N/A,FALSE,"OFFGRID";"WTP",#N/A,FALSE,"WTP";"WTP -2",#N/A,FALSE,"WTP";"Project",#N/A,FALSE,"PROJECT";"Summary -2",#N/A,FALSE,"SUMMARY"}</definedName>
    <definedName name="TBTT">'QD957'!$N$36</definedName>
    <definedName name="Tholan.104">NhanCong!$M$99</definedName>
    <definedName name="Tholan.204">NhanCong!$M$100</definedName>
    <definedName name="Tholan.304">NhanCong!$M$101</definedName>
    <definedName name="Tholan.31">NhanCong!$M$107</definedName>
    <definedName name="Tholan.404">NhanCong!$M$102</definedName>
    <definedName name="TholanC1.12">NhanCong!$M$104</definedName>
    <definedName name="TholanC1.22">NhanCong!$M$105</definedName>
    <definedName name="THTB_CL">'TH&amp;Chenh lech LD'!$H$5</definedName>
    <definedName name="THTB_CLK">'TH&amp;Chenh lech LD'!$K$5</definedName>
    <definedName name="THTB_DV">'TH&amp;Chenh lech LD'!$D$5</definedName>
    <definedName name="THTB_GG">'TH&amp;Chenh lech LD'!$F$5</definedName>
    <definedName name="THTB_GHT">'TH&amp;Chenh lech LD'!$G$5</definedName>
    <definedName name="THTB_KL">'TH&amp;Chenh lech LD'!$E$5</definedName>
    <definedName name="THTB_KLK">'TH&amp;Chenh lech LD'!$J$5</definedName>
    <definedName name="THTB_MSVT">'TH&amp;Chenh lech LD'!$B$5</definedName>
    <definedName name="THTB_STT">'TH&amp;Chenh lech LD'!$A$5</definedName>
    <definedName name="THTB_TEN">'TH&amp;Chenh lech LD'!$C$5</definedName>
    <definedName name="THTB_TT">'TH&amp;Chenh lech LD'!$I$5</definedName>
    <definedName name="thuhut">Ts!$C$29</definedName>
    <definedName name="ThuyThu.14ds">NhanCong!$M$172</definedName>
    <definedName name="ThuyThu.14ns">NhanCong!$M$177</definedName>
    <definedName name="ThuyThu.1b">NhanCong!$M$145</definedName>
    <definedName name="ThuyThu.24ds">NhanCong!$M$173</definedName>
    <definedName name="ThuyThu.24ns">NhanCong!$M$178</definedName>
    <definedName name="ThuyThu.2b">NhanCong!$M$146</definedName>
    <definedName name="ThuyThu.34ds">NhanCong!$M$174</definedName>
    <definedName name="ThuyThu.34ns">NhanCong!$M$179</definedName>
    <definedName name="ThuyThu.3b">NhanCong!$M$147</definedName>
    <definedName name="ThuyThu.44ds">NhanCong!$M$175</definedName>
    <definedName name="ThuyThu.44ns">NhanCong!$M$180</definedName>
    <definedName name="ThuyThu.4b">NhanCong!$M$148</definedName>
    <definedName name="THXD_CL">'Tong hop &amp; Chenh lech'!$H$5</definedName>
    <definedName name="THXD_CLK">'Tong hop &amp; Chenh lech'!$K$5</definedName>
    <definedName name="THXD_DV">'Tong hop &amp; Chenh lech'!$D$5</definedName>
    <definedName name="THXD_GG">'Tong hop &amp; Chenh lech'!$F$5</definedName>
    <definedName name="THXD_GHT">'Tong hop &amp; Chenh lech'!$G$5</definedName>
    <definedName name="THXD_KL">'Tong hop &amp; Chenh lech'!$E$5</definedName>
    <definedName name="THXD_KLK">'Tong hop &amp; Chenh lech'!$J$5</definedName>
    <definedName name="THXD_MSVT">'Tong hop &amp; Chenh lech'!$B$5</definedName>
    <definedName name="THXD_STT">'Tong hop &amp; Chenh lech'!$A$5</definedName>
    <definedName name="THXD_TEN">'Tong hop &amp; Chenh lech'!$C$5</definedName>
    <definedName name="THXD_TT">'Tong hop &amp; Chenh lech'!$I$5</definedName>
    <definedName name="TmayCkB.1b">NhanCong!$M$150</definedName>
    <definedName name="TmayCkB.2b">NhanCong!$M$151</definedName>
    <definedName name="TmayCkB.3b">NhanCong!$M$152</definedName>
    <definedName name="TmayCkB.4b">NhanCong!$M$153</definedName>
    <definedName name="TmayDVtd.1b">NhanCong!$M$155</definedName>
    <definedName name="TmayDVtd.2b">NhanCong!$M$156</definedName>
    <definedName name="TmayDVtd.3b">NhanCong!$M$157</definedName>
    <definedName name="TmayDVtd.4b">NhanCong!$M$158</definedName>
    <definedName name="TmayTdien.1ds">NhanCong!$M$183</definedName>
    <definedName name="TmayTdien.1ns">NhanCong!$M$188</definedName>
    <definedName name="TmayTdien.2ds">NhanCong!$M$184</definedName>
    <definedName name="TmayTdien.2ns">NhanCong!$M$189</definedName>
    <definedName name="TmayTdien.3ds">NhanCong!$M$185</definedName>
    <definedName name="TmayTdien.3ns">NhanCong!$M$190</definedName>
    <definedName name="TmayTdien.4ds">NhanCong!$M$186</definedName>
    <definedName name="TmayTdien.4ns">NhanCong!$M$191</definedName>
    <definedName name="TMDT" comment="Giá trị TMDT dùng để nội suy một số chi phí khác. Nên gõ vào để tính nội suy gần đúng, tránh bị vòng lặp Cicurlar.">'QD957'!$N$34</definedName>
    <definedName name="Tp2KtvHutBung.1b">NhanCong!$M$338</definedName>
    <definedName name="Tp2KtvHutBung.2b">NhanCong!$M$339</definedName>
    <definedName name="Tp2KtvHutBung.3b">NhanCong!$M$340</definedName>
    <definedName name="Tp2KtvHutBung.4b">NhanCong!$M$341</definedName>
    <definedName name="Tp2M2.21s">NhanCong!$M$226</definedName>
    <definedName name="Tp2M2.22s">NhanCong!$M$227</definedName>
    <definedName name="Tp2M2.31s">NhanCong!$M$228</definedName>
    <definedName name="Tp2M2.32s">NhanCong!$M$229</definedName>
    <definedName name="Tp2M2.41s">NhanCong!$M$230</definedName>
    <definedName name="Tp2M2.42s">NhanCong!$M$231</definedName>
    <definedName name="Tp3KtvHutBung.1b">NhanCong!$M$343</definedName>
    <definedName name="Tp3KtvHutBung.2b">NhanCong!$M$344</definedName>
    <definedName name="Tp3KtvHutBung.3b">NhanCong!$M$345</definedName>
    <definedName name="Tp3KtvHutBung.4b">NhanCong!$M$346</definedName>
    <definedName name="TS_BT">Ts!$AF$8</definedName>
    <definedName name="TS_CP">Ts!$AF$15</definedName>
    <definedName name="TS_DG">Ts!$AF$10</definedName>
    <definedName name="TS_DGDT">Ts!$AF$19</definedName>
    <definedName name="TS_DGGVT">Ts!$AF$18</definedName>
    <definedName name="TS_DGTH">Ts!$AF$17</definedName>
    <definedName name="TS_DMNC">Ts!$AF$31</definedName>
    <definedName name="TS_DPLV">Ts!$AF$5</definedName>
    <definedName name="TS_DTB">Ts!$AF$32</definedName>
    <definedName name="TS_EXCEL">Ts!$AF$37</definedName>
    <definedName name="TS_GVTM">Ts!$AF$28</definedName>
    <definedName name="TS_GVTNC">Ts!$AF$27</definedName>
    <definedName name="TS_GVTPLV">Ts!$AF$29</definedName>
    <definedName name="TS_GVTVL">Ts!$AF$26</definedName>
    <definedName name="TS_HSDG">Ts!$AF$11</definedName>
    <definedName name="TS_KS">Ts!$AF$12</definedName>
    <definedName name="TS_KXDL">Ts!$AF$34</definedName>
    <definedName name="TS_LDT">Ts!$AF$33</definedName>
    <definedName name="TS_PTV">Ts!$AF$9</definedName>
    <definedName name="TS_TGCM">Ts!$AF$13</definedName>
    <definedName name="TS_TH">Ts!$AF$7</definedName>
    <definedName name="TS_THCOT" localSheetId="25">Ts!#REF!</definedName>
    <definedName name="TS_THCOT" localSheetId="24">Ts!#REF!</definedName>
    <definedName name="TS_THCOT">Ts!#REF!</definedName>
    <definedName name="TS_THM">Ts!$AF$23</definedName>
    <definedName name="TS_THNC">Ts!$AF$22</definedName>
    <definedName name="TS_THPLV">Ts!$AF$24</definedName>
    <definedName name="TS_THTB" localSheetId="25">Ts!#REF!</definedName>
    <definedName name="TS_THTB" localSheetId="24">Ts!#REF!</definedName>
    <definedName name="TS_THTB">Ts!#REF!</definedName>
    <definedName name="TS_THVL">Ts!$AF$21</definedName>
    <definedName name="TS_TL">Ts!$AF$4</definedName>
    <definedName name="TS_TRC">Ts!$AF$3</definedName>
    <definedName name="TS_TT">Ts!$AF$35</definedName>
    <definedName name="TS_VUA">Ts!$AF$36</definedName>
    <definedName name="Ttr.11s">NhanCong!$M$206</definedName>
    <definedName name="Ttr.12s">NhanCong!$M$207</definedName>
    <definedName name="Ttr.21s">NhanCong!$M$208</definedName>
    <definedName name="Ttr.22s">NhanCong!$M$209</definedName>
    <definedName name="Ttr.31s">NhanCong!$M$210</definedName>
    <definedName name="Ttr.32s">NhanCong!$M$211</definedName>
    <definedName name="Ttr.41s">NhanCong!$M$212</definedName>
    <definedName name="Ttr.42s">NhanCong!$M$213</definedName>
    <definedName name="TTrHut150.1s">NhanCong!$M$247</definedName>
    <definedName name="TTrHut150.2s">NhanCong!$M$248</definedName>
    <definedName name="TTrHut300.1s">NhanCong!$M$250</definedName>
    <definedName name="TTrHut300.2s">NhanCong!$M$251</definedName>
    <definedName name="TTrHutCuoc300.1b">NhanCong!$M$315</definedName>
    <definedName name="TTrHutCuoc300.1s">NhanCong!$M$253</definedName>
    <definedName name="TTrHutCuoc300.2b">NhanCong!$M$316</definedName>
    <definedName name="TTrHutCuoc300.2s">NhanCong!$M$254</definedName>
    <definedName name="TTrHutCuoc800.1b">NhanCong!$M$318</definedName>
    <definedName name="TTrHutCuoc800.2b">NhanCong!$M$319</definedName>
    <definedName name="VLTB_BX">'VL hien truong LD'!$N$6</definedName>
    <definedName name="VLTB_CL">'VL hien truong LD'!$H$5</definedName>
    <definedName name="VLTB_CPBX">'VL hien truong LD'!$T$5</definedName>
    <definedName name="VLTB_CPTC">'VL hien truong LD'!$S$6</definedName>
    <definedName name="VLTB_CPVC">'VL hien truong LD'!$M$5</definedName>
    <definedName name="VLTB_CTT">'VL hien truong LD'!$L$5</definedName>
    <definedName name="VLTB_DV">'VL hien truong LD'!$D$5</definedName>
    <definedName name="VLTB_GC">'VL hien truong LD'!$I$5</definedName>
    <definedName name="VLTB_GG">'VL hien truong LD'!$U$5</definedName>
    <definedName name="VLTB_GHT">'VL hien truong LD'!$V$5</definedName>
    <definedName name="VLTB_HSBH">'VL hien truong LD'!$J$5</definedName>
    <definedName name="VLTB_HSDB">'VL hien truong LD'!$K$5</definedName>
    <definedName name="VLTB_KL">'VL hien truong LD'!$E$5</definedName>
    <definedName name="VLTB_LD">'VL hien truong LD'!$G$5</definedName>
    <definedName name="VLTB_LVL">'VL hien truong LD'!$C$5</definedName>
    <definedName name="VLTB_MH">'VL hien truong LD'!$B$5</definedName>
    <definedName name="VLTB_NM">'VL hien truong LD'!$W$5</definedName>
    <definedName name="VLTB_STT">'VL hien truong LD'!$A$5</definedName>
    <definedName name="VLTB_TLDV">'VL hien truong LD'!$F$5</definedName>
    <definedName name="VLTB_VCB">'VL hien truong LD'!$O$6</definedName>
    <definedName name="VLTB_VCBT">'VL hien truong LD'!$P$6</definedName>
    <definedName name="VLTB_VCPT">'VL hien truong LD'!$Q$6</definedName>
    <definedName name="VLTB_VCPTT">'VL hien truong LD'!$R$6</definedName>
    <definedName name="VLXD_BX">'Gia vat lieu'!$N$6</definedName>
    <definedName name="VLXD_CL">'Gia vat lieu'!$H$5</definedName>
    <definedName name="VLXD_CPBX">'Gia vat lieu'!$T$5</definedName>
    <definedName name="VLXD_CPTC">'Gia vat lieu'!$S$6</definedName>
    <definedName name="VLXD_CPVC">'Gia vat lieu'!$M$5</definedName>
    <definedName name="VLXD_CTT">'Gia vat lieu'!$L$5</definedName>
    <definedName name="VLXD_DV">'Gia vat lieu'!$D$5</definedName>
    <definedName name="VLXD_GC">'Gia vat lieu'!$I$5</definedName>
    <definedName name="VLXD_GG">'Gia vat lieu'!$U$5</definedName>
    <definedName name="VLXD_GHT">'Gia vat lieu'!$V$5</definedName>
    <definedName name="VLXD_HSBH">'Gia vat lieu'!$J$5</definedName>
    <definedName name="VLXD_HSDB">'Gia vat lieu'!$K$5</definedName>
    <definedName name="VLXD_KL">'Gia vat lieu'!$E$5</definedName>
    <definedName name="VLXD_LD">'Gia vat lieu'!$G$5</definedName>
    <definedName name="VLXD_LVL">'Gia vat lieu'!$C$5</definedName>
    <definedName name="VLXD_MH">'Gia vat lieu'!$B$5</definedName>
    <definedName name="VLXD_NM">'Gia vat lieu'!$W$5</definedName>
    <definedName name="VLXD_STT">'Gia vat lieu'!$A$5</definedName>
    <definedName name="VLXD_TLDV">'Gia vat lieu'!$F$5</definedName>
    <definedName name="VLXD_VCB">'Gia vat lieu'!$O$6</definedName>
    <definedName name="VLXD_VCBT">'Gia vat lieu'!$P$6</definedName>
    <definedName name="VLXD_VCPT">'Gia vat lieu'!$Q$6</definedName>
    <definedName name="VLXD_VCPTT">'Gia vat lieu'!$R$6</definedName>
    <definedName name="vvvvvvv" hidden="1">{#N/A,#N/A,FALSE,"Chi tiÆt"}</definedName>
    <definedName name="wrn.chi._.tiÆt." localSheetId="44" hidden="1">{#N/A,#N/A,FALSE,"Chi tiÆt"}</definedName>
    <definedName name="wrn.chi._.tiÆt." localSheetId="19" hidden="1">{#N/A,#N/A,FALSE,"Chi tiÆt"}</definedName>
    <definedName name="wrn.chi._.tiÆt." localSheetId="43" hidden="1">{#N/A,#N/A,FALSE,"Chi tiÆt"}</definedName>
    <definedName name="wrn.chi._.tiÆt." localSheetId="18" hidden="1">{#N/A,#N/A,FALSE,"Chi tiÆt"}</definedName>
    <definedName name="wrn.chi._.tiÆt." hidden="1">{#N/A,#N/A,FALSE,"Chi tiÆt"}</definedName>
    <definedName name="wrn.Report." localSheetId="44" hidden="1">{"Offgrid",#N/A,FALSE,"OFFGRID";"Region",#N/A,FALSE,"REGION";"Offgrid -2",#N/A,FALSE,"OFFGRID";"WTP",#N/A,FALSE,"WTP";"WTP -2",#N/A,FALSE,"WTP";"Project",#N/A,FALSE,"PROJECT";"Summary -2",#N/A,FALSE,"SUMMARY"}</definedName>
    <definedName name="wrn.Report." localSheetId="19" hidden="1">{"Offgrid",#N/A,FALSE,"OFFGRID";"Region",#N/A,FALSE,"REGION";"Offgrid -2",#N/A,FALSE,"OFFGRID";"WTP",#N/A,FALSE,"WTP";"WTP -2",#N/A,FALSE,"WTP";"Project",#N/A,FALSE,"PROJECT";"Summary -2",#N/A,FALSE,"SUMMARY"}</definedName>
    <definedName name="wrn.Report." localSheetId="43" hidden="1">{"Offgrid",#N/A,FALSE,"OFFGRID";"Region",#N/A,FALSE,"REGION";"Offgrid -2",#N/A,FALSE,"OFFGRID";"WTP",#N/A,FALSE,"WTP";"WTP -2",#N/A,FALSE,"WTP";"Project",#N/A,FALSE,"PROJECT";"Summary -2",#N/A,FALSE,"SUMMARY"}</definedName>
    <definedName name="wrn.Report." localSheetId="18"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f.report" localSheetId="44" hidden="1">{"Offgrid",#N/A,FALSE,"OFFGRID";"Region",#N/A,FALSE,"REGION";"Offgrid -2",#N/A,FALSE,"OFFGRID";"WTP",#N/A,FALSE,"WTP";"WTP -2",#N/A,FALSE,"WTP";"Project",#N/A,FALSE,"PROJECT";"Summary -2",#N/A,FALSE,"SUMMARY"}</definedName>
    <definedName name="wrnf.report" localSheetId="19" hidden="1">{"Offgrid",#N/A,FALSE,"OFFGRID";"Region",#N/A,FALSE,"REGION";"Offgrid -2",#N/A,FALSE,"OFFGRID";"WTP",#N/A,FALSE,"WTP";"WTP -2",#N/A,FALSE,"WTP";"Project",#N/A,FALSE,"PROJECT";"Summary -2",#N/A,FALSE,"SUMMARY"}</definedName>
    <definedName name="wrnf.report" localSheetId="43" hidden="1">{"Offgrid",#N/A,FALSE,"OFFGRID";"Region",#N/A,FALSE,"REGION";"Offgrid -2",#N/A,FALSE,"OFFGRID";"WTP",#N/A,FALSE,"WTP";"WTP -2",#N/A,FALSE,"WTP";"Project",#N/A,FALSE,"PROJECT";"Summary -2",#N/A,FALSE,"SUMMARY"}</definedName>
    <definedName name="wrnf.report" localSheetId="18"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wwwwwww" hidden="1">{"Offgrid",#N/A,FALSE,"OFFGRID";"Region",#N/A,FALSE,"REGION";"Offgrid -2",#N/A,FALSE,"OFFGRID";"WTP",#N/A,FALSE,"WTP";"WTP -2",#N/A,FALSE,"WTP";"Project",#N/A,FALSE,"PROJECT";"Summary -2",#N/A,FALSE,"SUMMARY"}</definedName>
    <definedName name="xang">Ts!$C$35</definedName>
    <definedName name="XDTT">'QD957'!$N$35</definedName>
    <definedName name="zDT_End" hidden="1">'Dutoan XD'!$A$100</definedName>
  </definedNames>
  <calcPr calcId="124519"/>
</workbook>
</file>

<file path=xl/calcChain.xml><?xml version="1.0" encoding="utf-8"?>
<calcChain xmlns="http://schemas.openxmlformats.org/spreadsheetml/2006/main">
  <c r="O98" i="10"/>
  <c r="N98"/>
  <c r="M98"/>
  <c r="L98"/>
  <c r="G23" i="57"/>
  <c r="F18"/>
  <c r="G18" s="1"/>
  <c r="G17"/>
  <c r="G16"/>
  <c r="F15"/>
  <c r="G15" s="1"/>
  <c r="F13"/>
  <c r="G13" s="1"/>
  <c r="F12"/>
  <c r="G12" s="1"/>
  <c r="F11"/>
  <c r="G11" s="1"/>
  <c r="F10"/>
  <c r="G10" s="1"/>
  <c r="F9"/>
  <c r="G9" s="1"/>
  <c r="F7"/>
  <c r="G7" s="1"/>
  <c r="F42" i="56"/>
  <c r="G42" s="1"/>
  <c r="F41"/>
  <c r="G41" s="1"/>
  <c r="F40"/>
  <c r="G40" s="1"/>
  <c r="F38"/>
  <c r="G38" s="1"/>
  <c r="F37"/>
  <c r="G37" s="1"/>
  <c r="F36"/>
  <c r="G36" s="1"/>
  <c r="F35"/>
  <c r="G35" s="1"/>
  <c r="F34"/>
  <c r="G34" s="1"/>
  <c r="F33"/>
  <c r="G33" s="1"/>
  <c r="F32"/>
  <c r="G32" s="1"/>
  <c r="F31"/>
  <c r="G31" s="1"/>
  <c r="F30"/>
  <c r="G30" s="1"/>
  <c r="F26"/>
  <c r="G26" s="1"/>
  <c r="F24"/>
  <c r="G24" s="1"/>
  <c r="F21"/>
  <c r="G21" s="1"/>
  <c r="F19"/>
  <c r="G19" s="1"/>
  <c r="F16"/>
  <c r="G16" s="1"/>
  <c r="F13"/>
  <c r="G13" s="1"/>
  <c r="F12"/>
  <c r="G12" s="1"/>
  <c r="F11"/>
  <c r="G11" s="1"/>
  <c r="F10"/>
  <c r="G10" s="1"/>
  <c r="F9"/>
  <c r="G9" s="1"/>
  <c r="F7"/>
  <c r="G7" s="1"/>
  <c r="A7"/>
  <c r="H10" i="51"/>
  <c r="I10" s="1"/>
  <c r="E17" i="42"/>
  <c r="H17" s="1"/>
  <c r="E18"/>
  <c r="J18" s="1"/>
  <c r="E19"/>
  <c r="G19" s="1"/>
  <c r="E21"/>
  <c r="J21" s="1"/>
  <c r="E22"/>
  <c r="G22" s="1"/>
  <c r="E24"/>
  <c r="H24" s="1"/>
  <c r="E43" i="48"/>
  <c r="A3" i="41" s="1"/>
  <c r="E43" i="2"/>
  <c r="A3" i="46" s="1"/>
  <c r="M28" i="27"/>
  <c r="O28"/>
  <c r="N28"/>
  <c r="L28"/>
  <c r="W2" i="30"/>
  <c r="V2"/>
  <c r="D9" i="33"/>
  <c r="D9" i="16"/>
  <c r="D8" i="33"/>
  <c r="D8" i="16"/>
  <c r="D7" i="33"/>
  <c r="D7" i="16"/>
  <c r="A3" i="57" l="1"/>
  <c r="A3" i="56"/>
  <c r="A3" i="29"/>
  <c r="I18" i="42"/>
  <c r="A3" i="36"/>
  <c r="H21" i="42"/>
  <c r="G18"/>
  <c r="I17"/>
  <c r="A3" i="44"/>
  <c r="A3" i="34"/>
  <c r="I24" i="42"/>
  <c r="H22"/>
  <c r="I21"/>
  <c r="G21"/>
  <c r="I19"/>
  <c r="G24"/>
  <c r="H19"/>
  <c r="G17"/>
  <c r="J24"/>
  <c r="I22"/>
  <c r="H18"/>
  <c r="J17"/>
  <c r="J19"/>
  <c r="J22"/>
  <c r="A3" i="25"/>
  <c r="A3" i="30"/>
  <c r="A3" i="33"/>
  <c r="A3" i="28"/>
  <c r="A3" i="24"/>
  <c r="A3" i="27"/>
  <c r="A3" i="32"/>
  <c r="B32" i="54"/>
  <c r="A3" i="37"/>
  <c r="A3" i="23"/>
  <c r="A3" i="26"/>
  <c r="A3" i="31"/>
  <c r="A3" i="38"/>
  <c r="B32" i="52"/>
  <c r="A3" i="55"/>
  <c r="A3" i="53"/>
  <c r="E40" i="54"/>
  <c r="E60" s="1"/>
  <c r="F46"/>
  <c r="E40" i="52"/>
  <c r="E60" s="1"/>
  <c r="F46"/>
  <c r="L86" i="10" l="1"/>
  <c r="M86"/>
  <c r="N86"/>
  <c r="O86"/>
  <c r="L96"/>
  <c r="M96"/>
  <c r="N96"/>
  <c r="O96"/>
  <c r="L72"/>
  <c r="M72"/>
  <c r="N72"/>
  <c r="O72"/>
  <c r="L47"/>
  <c r="M47"/>
  <c r="N47"/>
  <c r="O47"/>
  <c r="L97"/>
  <c r="M97"/>
  <c r="N97"/>
  <c r="O97"/>
  <c r="L90"/>
  <c r="M90"/>
  <c r="N90"/>
  <c r="O90"/>
  <c r="L82"/>
  <c r="M82"/>
  <c r="N82"/>
  <c r="O82"/>
  <c r="L74"/>
  <c r="M74"/>
  <c r="N74"/>
  <c r="O74"/>
  <c r="L66"/>
  <c r="M66"/>
  <c r="O66"/>
  <c r="N66"/>
  <c r="L57"/>
  <c r="M57"/>
  <c r="N57"/>
  <c r="O57"/>
  <c r="L49"/>
  <c r="M49"/>
  <c r="N49"/>
  <c r="O49"/>
  <c r="L41"/>
  <c r="M41"/>
  <c r="N41"/>
  <c r="O41"/>
  <c r="L33"/>
  <c r="M33"/>
  <c r="N33"/>
  <c r="O33"/>
  <c r="L25"/>
  <c r="O25"/>
  <c r="M25"/>
  <c r="N25"/>
  <c r="L17"/>
  <c r="M17"/>
  <c r="O17"/>
  <c r="N17"/>
  <c r="L9"/>
  <c r="M9"/>
  <c r="O9"/>
  <c r="N9"/>
  <c r="L91"/>
  <c r="M91"/>
  <c r="N91"/>
  <c r="O91"/>
  <c r="L83"/>
  <c r="M83"/>
  <c r="N83"/>
  <c r="O83"/>
  <c r="L75"/>
  <c r="M75"/>
  <c r="O75"/>
  <c r="N75"/>
  <c r="L67"/>
  <c r="M67"/>
  <c r="N67"/>
  <c r="O67"/>
  <c r="L58"/>
  <c r="M58"/>
  <c r="O58"/>
  <c r="N58"/>
  <c r="L50"/>
  <c r="M50"/>
  <c r="O50"/>
  <c r="N50"/>
  <c r="L42"/>
  <c r="O42"/>
  <c r="M42"/>
  <c r="N42"/>
  <c r="L34"/>
  <c r="M34"/>
  <c r="O34"/>
  <c r="N34"/>
  <c r="L26"/>
  <c r="M26"/>
  <c r="O26"/>
  <c r="N26"/>
  <c r="L18"/>
  <c r="O18"/>
  <c r="M18"/>
  <c r="N18"/>
  <c r="L10"/>
  <c r="M10"/>
  <c r="N10"/>
  <c r="O10"/>
  <c r="L62"/>
  <c r="M62"/>
  <c r="O62"/>
  <c r="N62"/>
  <c r="L80"/>
  <c r="M80"/>
  <c r="O80"/>
  <c r="N80"/>
  <c r="L55"/>
  <c r="M55"/>
  <c r="N55"/>
  <c r="O55"/>
  <c r="L23"/>
  <c r="M23"/>
  <c r="O23"/>
  <c r="N23"/>
  <c r="L92"/>
  <c r="M92"/>
  <c r="N92"/>
  <c r="O92"/>
  <c r="L84"/>
  <c r="M84"/>
  <c r="O84"/>
  <c r="N84"/>
  <c r="L76"/>
  <c r="M76"/>
  <c r="N76"/>
  <c r="O76"/>
  <c r="L68"/>
  <c r="M68"/>
  <c r="O68"/>
  <c r="N68"/>
  <c r="L60"/>
  <c r="O60"/>
  <c r="M60"/>
  <c r="N60"/>
  <c r="L51"/>
  <c r="M51"/>
  <c r="N51"/>
  <c r="O51"/>
  <c r="L43"/>
  <c r="M43"/>
  <c r="N43"/>
  <c r="O43"/>
  <c r="L35"/>
  <c r="M35"/>
  <c r="N35"/>
  <c r="O35"/>
  <c r="L27"/>
  <c r="M27"/>
  <c r="N27"/>
  <c r="O27"/>
  <c r="L19"/>
  <c r="M19"/>
  <c r="N19"/>
  <c r="O19"/>
  <c r="L11"/>
  <c r="O11"/>
  <c r="M11"/>
  <c r="N11"/>
  <c r="L93"/>
  <c r="M93"/>
  <c r="N93"/>
  <c r="O93"/>
  <c r="L85"/>
  <c r="M85"/>
  <c r="N85"/>
  <c r="O85"/>
  <c r="L77"/>
  <c r="M77"/>
  <c r="N77"/>
  <c r="O77"/>
  <c r="L69"/>
  <c r="M69"/>
  <c r="N69"/>
  <c r="O69"/>
  <c r="L61"/>
  <c r="M61"/>
  <c r="N61"/>
  <c r="O61"/>
  <c r="L52"/>
  <c r="M52"/>
  <c r="O52"/>
  <c r="N52"/>
  <c r="L44"/>
  <c r="M44"/>
  <c r="O44"/>
  <c r="N44"/>
  <c r="L36"/>
  <c r="O36"/>
  <c r="M36"/>
  <c r="N36"/>
  <c r="L28"/>
  <c r="O28"/>
  <c r="M28"/>
  <c r="N28"/>
  <c r="L20"/>
  <c r="M20"/>
  <c r="O20"/>
  <c r="N20"/>
  <c r="L12"/>
  <c r="M12"/>
  <c r="O12"/>
  <c r="N12"/>
  <c r="L94"/>
  <c r="M94"/>
  <c r="N94"/>
  <c r="O94"/>
  <c r="L70"/>
  <c r="M70"/>
  <c r="O70"/>
  <c r="N70"/>
  <c r="L53"/>
  <c r="M53"/>
  <c r="N53"/>
  <c r="O53"/>
  <c r="L45"/>
  <c r="M45"/>
  <c r="N45"/>
  <c r="O45"/>
  <c r="L37"/>
  <c r="M37"/>
  <c r="O37"/>
  <c r="N37"/>
  <c r="L29"/>
  <c r="M29"/>
  <c r="O29"/>
  <c r="N29"/>
  <c r="L21"/>
  <c r="M21"/>
  <c r="N21"/>
  <c r="O21"/>
  <c r="L13"/>
  <c r="M13"/>
  <c r="N13"/>
  <c r="O13"/>
  <c r="L95"/>
  <c r="M95"/>
  <c r="N95"/>
  <c r="O95"/>
  <c r="L87"/>
  <c r="M87"/>
  <c r="N87"/>
  <c r="O87"/>
  <c r="L79"/>
  <c r="M79"/>
  <c r="N79"/>
  <c r="O79"/>
  <c r="L71"/>
  <c r="M71"/>
  <c r="N71"/>
  <c r="O71"/>
  <c r="L63"/>
  <c r="M63"/>
  <c r="N63"/>
  <c r="O63"/>
  <c r="L54"/>
  <c r="M54"/>
  <c r="O54"/>
  <c r="N54"/>
  <c r="L46"/>
  <c r="M46"/>
  <c r="O46"/>
  <c r="N46"/>
  <c r="L38"/>
  <c r="M38"/>
  <c r="N38"/>
  <c r="O38"/>
  <c r="L30"/>
  <c r="M30"/>
  <c r="N30"/>
  <c r="O30"/>
  <c r="L22"/>
  <c r="O22"/>
  <c r="M22"/>
  <c r="N22"/>
  <c r="L14"/>
  <c r="O14"/>
  <c r="M14"/>
  <c r="N14"/>
  <c r="L78"/>
  <c r="M78"/>
  <c r="O78"/>
  <c r="N78"/>
  <c r="L88"/>
  <c r="M88"/>
  <c r="N88"/>
  <c r="O88"/>
  <c r="L64"/>
  <c r="M64"/>
  <c r="O64"/>
  <c r="N64"/>
  <c r="L39"/>
  <c r="O39"/>
  <c r="M39"/>
  <c r="N39"/>
  <c r="L31"/>
  <c r="M31"/>
  <c r="O31"/>
  <c r="N31"/>
  <c r="L15"/>
  <c r="M15"/>
  <c r="O15"/>
  <c r="N15"/>
  <c r="L89"/>
  <c r="M89"/>
  <c r="N89"/>
  <c r="O89"/>
  <c r="L81"/>
  <c r="M81"/>
  <c r="N81"/>
  <c r="O81"/>
  <c r="L73"/>
  <c r="M73"/>
  <c r="O73"/>
  <c r="N73"/>
  <c r="L65"/>
  <c r="M65"/>
  <c r="N65"/>
  <c r="O65"/>
  <c r="L56"/>
  <c r="M56"/>
  <c r="O56"/>
  <c r="N56"/>
  <c r="L48"/>
  <c r="O48"/>
  <c r="M48"/>
  <c r="N48"/>
  <c r="L40"/>
  <c r="M40"/>
  <c r="O40"/>
  <c r="N40"/>
  <c r="L32"/>
  <c r="O32"/>
  <c r="M32"/>
  <c r="N32"/>
  <c r="L24"/>
  <c r="M24"/>
  <c r="N24"/>
  <c r="O24"/>
  <c r="L16"/>
  <c r="M16"/>
  <c r="N16"/>
  <c r="O16"/>
  <c r="E46" i="54"/>
  <c r="C53"/>
  <c r="E53" s="1"/>
  <c r="D60"/>
  <c r="F60"/>
  <c r="D46"/>
  <c r="C46" s="1"/>
  <c r="D53"/>
  <c r="E46" i="52"/>
  <c r="C53"/>
  <c r="E53" s="1"/>
  <c r="D60"/>
  <c r="F60"/>
  <c r="D46"/>
  <c r="C46" s="1"/>
  <c r="L100" i="10" l="1"/>
  <c r="M100"/>
  <c r="O100"/>
  <c r="N100"/>
  <c r="F53" i="52"/>
  <c r="F53" i="54"/>
  <c r="D53" i="52"/>
  <c r="W2" i="13" l="1"/>
  <c r="M14" i="18"/>
  <c r="L14"/>
  <c r="K14"/>
  <c r="J14"/>
  <c r="A3"/>
  <c r="A3" i="35"/>
  <c r="M14"/>
  <c r="L14"/>
  <c r="K14"/>
  <c r="J14"/>
  <c r="E11" i="48" l="1"/>
  <c r="E12"/>
  <c r="B6" i="44" s="1"/>
  <c r="B6" i="43"/>
  <c r="B3" i="51"/>
  <c r="AA2" l="1"/>
  <c r="M2"/>
  <c r="J10" s="1"/>
  <c r="J14" s="1"/>
  <c r="H8"/>
  <c r="I8" s="1"/>
  <c r="J8" s="1"/>
  <c r="H9"/>
  <c r="I9" s="1"/>
  <c r="J9" s="1"/>
  <c r="J16" s="1"/>
  <c r="J15" l="1"/>
  <c r="C19" i="49"/>
  <c r="D14"/>
  <c r="E14" s="1"/>
  <c r="E14" i="48"/>
  <c r="E13"/>
  <c r="A7" i="49"/>
  <c r="E12" i="2"/>
  <c r="N20" i="48"/>
  <c r="L20"/>
  <c r="J20"/>
  <c r="E45"/>
  <c r="E44"/>
  <c r="E42"/>
  <c r="G11" i="44"/>
  <c r="G10"/>
  <c r="G9"/>
  <c r="G8"/>
  <c r="G7"/>
  <c r="G7" i="43"/>
  <c r="G8"/>
  <c r="G9"/>
  <c r="G10"/>
  <c r="G11"/>
  <c r="F16" i="9"/>
  <c r="F24"/>
  <c r="U2" i="30" s="1"/>
  <c r="F22" i="9"/>
  <c r="T2" i="30" s="1"/>
  <c r="F20" i="9"/>
  <c r="S2" i="30" s="1"/>
  <c r="F19" i="9"/>
  <c r="R2" i="30" s="1"/>
  <c r="F17" i="9"/>
  <c r="Q2" i="30" s="1"/>
  <c r="F15" i="9"/>
  <c r="F14"/>
  <c r="N2" i="30" s="1"/>
  <c r="S20" i="5"/>
  <c r="N34" i="8"/>
  <c r="E42" i="2"/>
  <c r="D27" i="8" l="1"/>
  <c r="J4" i="57"/>
  <c r="A2"/>
  <c r="A2" i="56"/>
  <c r="C15" i="9"/>
  <c r="O2" i="30"/>
  <c r="C16" i="9"/>
  <c r="P2" i="30"/>
  <c r="A2" i="55"/>
  <c r="B31" i="52"/>
  <c r="B31" i="54"/>
  <c r="A2" i="53"/>
  <c r="A2" i="46"/>
  <c r="A2" i="35"/>
  <c r="A2" i="28"/>
  <c r="A2" i="18"/>
  <c r="B2" i="51"/>
  <c r="A6" i="49"/>
  <c r="C14" i="9"/>
  <c r="K27" i="8"/>
  <c r="J27" s="1"/>
  <c r="D29"/>
  <c r="D28"/>
  <c r="K29"/>
  <c r="J29" s="1"/>
  <c r="K28"/>
  <c r="J28" s="1"/>
  <c r="V2" i="13"/>
  <c r="D11" i="26" l="1"/>
  <c r="D9"/>
  <c r="D11" i="9"/>
  <c r="D16" s="1"/>
  <c r="D9"/>
  <c r="D15" s="1"/>
  <c r="F14" i="26"/>
  <c r="C14" s="1"/>
  <c r="A2" i="17"/>
  <c r="A2" i="16"/>
  <c r="A2" i="15"/>
  <c r="A2" i="34"/>
  <c r="A2" i="33"/>
  <c r="A2" i="41"/>
  <c r="A2" i="37"/>
  <c r="A3" i="22"/>
  <c r="A2"/>
  <c r="A3" i="20"/>
  <c r="A2"/>
  <c r="A2" i="44"/>
  <c r="A2" i="36"/>
  <c r="A3" i="19"/>
  <c r="A2"/>
  <c r="A3" i="43"/>
  <c r="A2"/>
  <c r="A3" i="11"/>
  <c r="A2"/>
  <c r="AK3" i="34"/>
  <c r="AJ3"/>
  <c r="AI3"/>
  <c r="AN2"/>
  <c r="AM2"/>
  <c r="AL2"/>
  <c r="AK2"/>
  <c r="AJ2"/>
  <c r="AI2"/>
  <c r="F5" i="33"/>
  <c r="F4"/>
  <c r="F9" s="1"/>
  <c r="A2" i="38"/>
  <c r="A2" i="32"/>
  <c r="A3" i="15"/>
  <c r="AN2" i="17"/>
  <c r="AM2"/>
  <c r="AL2"/>
  <c r="AK2"/>
  <c r="AJ2"/>
  <c r="AI2"/>
  <c r="AK3"/>
  <c r="AJ3"/>
  <c r="AI3"/>
  <c r="A3" i="42"/>
  <c r="A3" i="17"/>
  <c r="A3" i="16"/>
  <c r="A3" i="14"/>
  <c r="A3" i="13"/>
  <c r="A3" i="10"/>
  <c r="A3" i="9"/>
  <c r="A3" i="7"/>
  <c r="A3" i="6"/>
  <c r="C3" i="3"/>
  <c r="A2" i="42"/>
  <c r="A2" i="31"/>
  <c r="A2" i="29"/>
  <c r="A2" i="30"/>
  <c r="A2" i="27"/>
  <c r="A2" i="26"/>
  <c r="A2" i="25"/>
  <c r="A2" i="24"/>
  <c r="A2" i="23"/>
  <c r="A2" i="14"/>
  <c r="A2" i="13"/>
  <c r="A2" i="10"/>
  <c r="A2" i="9"/>
  <c r="A2" i="7"/>
  <c r="A2" i="6"/>
  <c r="C2" i="3"/>
  <c r="E300" i="42"/>
  <c r="I300" s="1"/>
  <c r="D371"/>
  <c r="E371" s="1"/>
  <c r="D27" i="3"/>
  <c r="D7" i="26" l="1"/>
  <c r="D7" i="9"/>
  <c r="D14" s="1"/>
  <c r="D17" s="1"/>
  <c r="F8" i="33"/>
  <c r="F7"/>
  <c r="D14" i="26"/>
  <c r="H300" i="42"/>
  <c r="G300"/>
  <c r="J300"/>
  <c r="J371"/>
  <c r="G371"/>
  <c r="I371"/>
  <c r="H371"/>
  <c r="F10" i="33" l="1"/>
  <c r="E87" i="42"/>
  <c r="I87" s="1"/>
  <c r="E86"/>
  <c r="H86" s="1"/>
  <c r="E85"/>
  <c r="J85" s="1"/>
  <c r="E84"/>
  <c r="I84" s="1"/>
  <c r="E83"/>
  <c r="J83" s="1"/>
  <c r="E82"/>
  <c r="I82" s="1"/>
  <c r="E81"/>
  <c r="J81" s="1"/>
  <c r="E80"/>
  <c r="I80" s="1"/>
  <c r="E78"/>
  <c r="I78" s="1"/>
  <c r="E77"/>
  <c r="H77" s="1"/>
  <c r="E76"/>
  <c r="J76" s="1"/>
  <c r="E75"/>
  <c r="I75" s="1"/>
  <c r="E74"/>
  <c r="J74" s="1"/>
  <c r="E73"/>
  <c r="I73" s="1"/>
  <c r="E72"/>
  <c r="J72" s="1"/>
  <c r="E71"/>
  <c r="H71" s="1"/>
  <c r="G77" l="1"/>
  <c r="G86"/>
  <c r="J71"/>
  <c r="G71"/>
  <c r="G73"/>
  <c r="G78"/>
  <c r="H82"/>
  <c r="H73"/>
  <c r="G82"/>
  <c r="G87"/>
  <c r="H78"/>
  <c r="H87"/>
  <c r="J75"/>
  <c r="J80"/>
  <c r="J84"/>
  <c r="H75"/>
  <c r="H80"/>
  <c r="H84"/>
  <c r="J73"/>
  <c r="G75"/>
  <c r="J77"/>
  <c r="J78"/>
  <c r="G80"/>
  <c r="J82"/>
  <c r="G84"/>
  <c r="J86"/>
  <c r="J87"/>
  <c r="I72"/>
  <c r="I74"/>
  <c r="I76"/>
  <c r="I81"/>
  <c r="I83"/>
  <c r="I85"/>
  <c r="I71"/>
  <c r="H72"/>
  <c r="H74"/>
  <c r="H76"/>
  <c r="I77"/>
  <c r="H81"/>
  <c r="H83"/>
  <c r="H85"/>
  <c r="I86"/>
  <c r="G72"/>
  <c r="G74"/>
  <c r="G76"/>
  <c r="G81"/>
  <c r="G83"/>
  <c r="G85"/>
  <c r="E5"/>
  <c r="E4"/>
  <c r="F4" i="16"/>
  <c r="F5"/>
  <c r="F19" i="25" l="1"/>
  <c r="G19" s="1"/>
  <c r="H19" s="1"/>
  <c r="F18"/>
  <c r="G18" s="1"/>
  <c r="H18" s="1"/>
  <c r="F17"/>
  <c r="G17" s="1"/>
  <c r="F10"/>
  <c r="G10" s="1"/>
  <c r="F11"/>
  <c r="G11" s="1"/>
  <c r="H11" s="1"/>
  <c r="F12"/>
  <c r="G12" s="1"/>
  <c r="F13"/>
  <c r="G13" s="1"/>
  <c r="H13" s="1"/>
  <c r="F14"/>
  <c r="G14" s="1"/>
  <c r="H14" s="1"/>
  <c r="F15"/>
  <c r="F9"/>
  <c r="F9" i="16"/>
  <c r="F8"/>
  <c r="F7"/>
  <c r="A3" i="21"/>
  <c r="A2"/>
  <c r="G16" i="25"/>
  <c r="H16" s="1"/>
  <c r="G15"/>
  <c r="H15" s="1"/>
  <c r="D8" i="8"/>
  <c r="C17"/>
  <c r="B15" i="56" s="1"/>
  <c r="A15" s="1"/>
  <c r="C16" i="8"/>
  <c r="B14" i="56" s="1"/>
  <c r="A14" s="1"/>
  <c r="M14" i="33"/>
  <c r="L14"/>
  <c r="K14"/>
  <c r="J14"/>
  <c r="I14"/>
  <c r="H14"/>
  <c r="M14" i="16"/>
  <c r="L14"/>
  <c r="K14"/>
  <c r="J14"/>
  <c r="I14"/>
  <c r="H14"/>
  <c r="F16" i="26"/>
  <c r="C16" s="1"/>
  <c r="F15"/>
  <c r="C15" s="1"/>
  <c r="K24" i="8"/>
  <c r="J24"/>
  <c r="F7" i="24"/>
  <c r="G7" s="1"/>
  <c r="F17" i="26"/>
  <c r="C17" s="1"/>
  <c r="F19"/>
  <c r="C19" s="1"/>
  <c r="F20"/>
  <c r="C20" s="1"/>
  <c r="F22"/>
  <c r="F24"/>
  <c r="E367" i="42"/>
  <c r="F11" i="24"/>
  <c r="G11" s="1"/>
  <c r="F10"/>
  <c r="F9"/>
  <c r="G9" s="1"/>
  <c r="F8"/>
  <c r="G33" i="7"/>
  <c r="G34" s="1"/>
  <c r="F33"/>
  <c r="F34" s="1"/>
  <c r="E33"/>
  <c r="E34" s="1"/>
  <c r="D33"/>
  <c r="D34" s="1"/>
  <c r="E45" i="2"/>
  <c r="E14" s="1"/>
  <c r="E44"/>
  <c r="E13" s="1"/>
  <c r="N20"/>
  <c r="L20"/>
  <c r="J20"/>
  <c r="D15" i="26" l="1"/>
  <c r="F12" i="52"/>
  <c r="F12" i="54"/>
  <c r="H12" i="25"/>
  <c r="H9" i="24"/>
  <c r="AM3" i="34"/>
  <c r="AM3" i="17"/>
  <c r="AN3" i="34"/>
  <c r="AN3" i="17"/>
  <c r="G35" i="7"/>
  <c r="D16" i="26"/>
  <c r="F8" i="25"/>
  <c r="F7" s="1"/>
  <c r="F21" s="1"/>
  <c r="F22" s="1"/>
  <c r="D8" i="23" s="1"/>
  <c r="H17" i="25"/>
  <c r="H10"/>
  <c r="F6" i="8"/>
  <c r="D15"/>
  <c r="AL3" i="17"/>
  <c r="AL3" i="34"/>
  <c r="O2" i="13"/>
  <c r="U2"/>
  <c r="N2"/>
  <c r="P2"/>
  <c r="T2"/>
  <c r="C20" i="9"/>
  <c r="S2" i="13"/>
  <c r="C17" i="9"/>
  <c r="Q2" i="13"/>
  <c r="C19" i="9"/>
  <c r="R2" i="13"/>
  <c r="F10" i="16"/>
  <c r="E384" i="42"/>
  <c r="H384" s="1"/>
  <c r="E89"/>
  <c r="E90"/>
  <c r="E91"/>
  <c r="E92"/>
  <c r="E93"/>
  <c r="E94"/>
  <c r="E95"/>
  <c r="E96"/>
  <c r="G9" i="25"/>
  <c r="H9" s="1"/>
  <c r="E321" i="42"/>
  <c r="J321" s="1"/>
  <c r="E44"/>
  <c r="H44" s="1"/>
  <c r="H7" i="24"/>
  <c r="E376" i="42"/>
  <c r="J376" s="1"/>
  <c r="E50"/>
  <c r="H50" s="1"/>
  <c r="C14" i="8"/>
  <c r="C15"/>
  <c r="E294" i="42"/>
  <c r="H294" s="1"/>
  <c r="E284"/>
  <c r="J284" s="1"/>
  <c r="E186"/>
  <c r="I186" s="1"/>
  <c r="E349"/>
  <c r="H349" s="1"/>
  <c r="E351"/>
  <c r="J351" s="1"/>
  <c r="E302"/>
  <c r="J302" s="1"/>
  <c r="E264"/>
  <c r="G264" s="1"/>
  <c r="E67"/>
  <c r="H67" s="1"/>
  <c r="E172"/>
  <c r="I172" s="1"/>
  <c r="E56"/>
  <c r="I56" s="1"/>
  <c r="E226"/>
  <c r="I226" s="1"/>
  <c r="E30"/>
  <c r="H30" s="1"/>
  <c r="E49"/>
  <c r="I49" s="1"/>
  <c r="E231"/>
  <c r="G231" s="1"/>
  <c r="E389"/>
  <c r="I389" s="1"/>
  <c r="E48"/>
  <c r="H48" s="1"/>
  <c r="G8" i="24"/>
  <c r="H8" s="1"/>
  <c r="H11"/>
  <c r="E206" i="42"/>
  <c r="I206" s="1"/>
  <c r="E279"/>
  <c r="J279" s="1"/>
  <c r="E46"/>
  <c r="H46" s="1"/>
  <c r="E31"/>
  <c r="I31" s="1"/>
  <c r="E211"/>
  <c r="I211" s="1"/>
  <c r="E121"/>
  <c r="G121" s="1"/>
  <c r="E350"/>
  <c r="I350" s="1"/>
  <c r="E40"/>
  <c r="G40" s="1"/>
  <c r="E20"/>
  <c r="I20" s="1"/>
  <c r="E157"/>
  <c r="I157" s="1"/>
  <c r="E130"/>
  <c r="G130" s="1"/>
  <c r="E229"/>
  <c r="J229" s="1"/>
  <c r="E227"/>
  <c r="G227" s="1"/>
  <c r="E193"/>
  <c r="G193" s="1"/>
  <c r="E166"/>
  <c r="I166" s="1"/>
  <c r="E41"/>
  <c r="I41" s="1"/>
  <c r="E319"/>
  <c r="H319" s="1"/>
  <c r="E126"/>
  <c r="G126" s="1"/>
  <c r="E63"/>
  <c r="I63" s="1"/>
  <c r="E194"/>
  <c r="I194" s="1"/>
  <c r="J227"/>
  <c r="F12" i="24"/>
  <c r="F13" s="1"/>
  <c r="G10"/>
  <c r="G12" s="1"/>
  <c r="G13" s="1"/>
  <c r="E7" i="23" s="1"/>
  <c r="G367" i="42"/>
  <c r="E328"/>
  <c r="E152"/>
  <c r="E290"/>
  <c r="E167"/>
  <c r="E163"/>
  <c r="E66"/>
  <c r="E125"/>
  <c r="E254"/>
  <c r="E47"/>
  <c r="E221"/>
  <c r="E288"/>
  <c r="E275"/>
  <c r="E150"/>
  <c r="E293"/>
  <c r="E43"/>
  <c r="E258"/>
  <c r="E339"/>
  <c r="E160"/>
  <c r="E28"/>
  <c r="E146"/>
  <c r="E354"/>
  <c r="E338"/>
  <c r="E295"/>
  <c r="E276"/>
  <c r="E251"/>
  <c r="E118"/>
  <c r="E219"/>
  <c r="E39"/>
  <c r="E304"/>
  <c r="E32"/>
  <c r="E330"/>
  <c r="E165"/>
  <c r="E175"/>
  <c r="E329"/>
  <c r="E113"/>
  <c r="E378"/>
  <c r="E306"/>
  <c r="E362"/>
  <c r="E299"/>
  <c r="E138"/>
  <c r="E55"/>
  <c r="E102"/>
  <c r="E382"/>
  <c r="E318"/>
  <c r="E335"/>
  <c r="E191"/>
  <c r="E37"/>
  <c r="E357"/>
  <c r="E147"/>
  <c r="E35"/>
  <c r="E375"/>
  <c r="E218"/>
  <c r="E100"/>
  <c r="E307"/>
  <c r="E316"/>
  <c r="E65"/>
  <c r="E257"/>
  <c r="E177"/>
  <c r="E253"/>
  <c r="E25"/>
  <c r="E356"/>
  <c r="E173"/>
  <c r="E265"/>
  <c r="E291"/>
  <c r="E282"/>
  <c r="E217"/>
  <c r="E388"/>
  <c r="E267"/>
  <c r="E370"/>
  <c r="E111"/>
  <c r="E162"/>
  <c r="E183"/>
  <c r="E381"/>
  <c r="E344"/>
  <c r="E247"/>
  <c r="E101"/>
  <c r="E361"/>
  <c r="E269"/>
  <c r="E346"/>
  <c r="E333"/>
  <c r="E105"/>
  <c r="E248"/>
  <c r="E155"/>
  <c r="E250"/>
  <c r="E209"/>
  <c r="E270"/>
  <c r="E23"/>
  <c r="E57"/>
  <c r="E364"/>
  <c r="E178"/>
  <c r="E26"/>
  <c r="E343"/>
  <c r="E296"/>
  <c r="E315"/>
  <c r="E213"/>
  <c r="E174"/>
  <c r="E271"/>
  <c r="E215"/>
  <c r="E341"/>
  <c r="E208"/>
  <c r="E216"/>
  <c r="E38"/>
  <c r="E137"/>
  <c r="E268"/>
  <c r="E27"/>
  <c r="E377"/>
  <c r="E365"/>
  <c r="E207"/>
  <c r="E53"/>
  <c r="E373"/>
  <c r="E68"/>
  <c r="E135"/>
  <c r="E148"/>
  <c r="E60"/>
  <c r="E222"/>
  <c r="E62"/>
  <c r="E274"/>
  <c r="E387"/>
  <c r="E281"/>
  <c r="E112"/>
  <c r="E334"/>
  <c r="E385"/>
  <c r="E285"/>
  <c r="E324"/>
  <c r="E189"/>
  <c r="E104"/>
  <c r="E99"/>
  <c r="E123"/>
  <c r="E228"/>
  <c r="E366"/>
  <c r="E180"/>
  <c r="E383"/>
  <c r="E256"/>
  <c r="E64"/>
  <c r="E151"/>
  <c r="E305"/>
  <c r="E298"/>
  <c r="E332"/>
  <c r="E278"/>
  <c r="E42"/>
  <c r="E185"/>
  <c r="E115"/>
  <c r="E184"/>
  <c r="E45"/>
  <c r="E179"/>
  <c r="E158"/>
  <c r="E289"/>
  <c r="E153"/>
  <c r="E261"/>
  <c r="E212"/>
  <c r="E107"/>
  <c r="E386"/>
  <c r="E277"/>
  <c r="E188"/>
  <c r="E195"/>
  <c r="E340"/>
  <c r="E117"/>
  <c r="I367"/>
  <c r="E196"/>
  <c r="E58"/>
  <c r="E122"/>
  <c r="E29"/>
  <c r="E372"/>
  <c r="E345"/>
  <c r="E61"/>
  <c r="E120"/>
  <c r="E156"/>
  <c r="E327"/>
  <c r="E136"/>
  <c r="E59"/>
  <c r="E116"/>
  <c r="J367"/>
  <c r="E301"/>
  <c r="E54"/>
  <c r="E33"/>
  <c r="E127"/>
  <c r="E128"/>
  <c r="E36"/>
  <c r="H367"/>
  <c r="E131"/>
  <c r="E132"/>
  <c r="E360"/>
  <c r="E323"/>
  <c r="E190"/>
  <c r="E210"/>
  <c r="E272"/>
  <c r="E161"/>
  <c r="E230"/>
  <c r="E355"/>
  <c r="E133"/>
  <c r="E369"/>
  <c r="E145"/>
  <c r="E168"/>
  <c r="E52"/>
  <c r="E260"/>
  <c r="E359"/>
  <c r="E259"/>
  <c r="E348"/>
  <c r="E110"/>
  <c r="E322"/>
  <c r="E220"/>
  <c r="F8"/>
  <c r="F7"/>
  <c r="F9"/>
  <c r="H8" i="25" l="1"/>
  <c r="H7" s="1"/>
  <c r="H21" s="1"/>
  <c r="H22" s="1"/>
  <c r="F8" i="23" s="1"/>
  <c r="B8" i="56"/>
  <c r="G157" i="42"/>
  <c r="I229"/>
  <c r="H130"/>
  <c r="G8" i="25"/>
  <c r="G7" s="1"/>
  <c r="G21" s="1"/>
  <c r="G22" s="1"/>
  <c r="E8" i="23" s="1"/>
  <c r="G384" i="42"/>
  <c r="I384"/>
  <c r="J384"/>
  <c r="J40"/>
  <c r="I50"/>
  <c r="G172"/>
  <c r="H31"/>
  <c r="H186"/>
  <c r="H40"/>
  <c r="I44"/>
  <c r="G20"/>
  <c r="H56"/>
  <c r="G376"/>
  <c r="G206"/>
  <c r="I95"/>
  <c r="J95"/>
  <c r="G95"/>
  <c r="H95"/>
  <c r="I91"/>
  <c r="J91"/>
  <c r="G91"/>
  <c r="H91"/>
  <c r="I89"/>
  <c r="J89"/>
  <c r="G89"/>
  <c r="H89"/>
  <c r="G349"/>
  <c r="I264"/>
  <c r="I96"/>
  <c r="J96"/>
  <c r="G96"/>
  <c r="H96"/>
  <c r="I93"/>
  <c r="J93"/>
  <c r="G93"/>
  <c r="H93"/>
  <c r="I90"/>
  <c r="J90"/>
  <c r="G90"/>
  <c r="H90"/>
  <c r="I94"/>
  <c r="J94"/>
  <c r="G94"/>
  <c r="H94"/>
  <c r="I92"/>
  <c r="J92"/>
  <c r="G92"/>
  <c r="H92"/>
  <c r="G194"/>
  <c r="J389"/>
  <c r="G211"/>
  <c r="I376"/>
  <c r="G321"/>
  <c r="G44"/>
  <c r="I284"/>
  <c r="J44"/>
  <c r="I121"/>
  <c r="J50"/>
  <c r="H321"/>
  <c r="I321"/>
  <c r="H279"/>
  <c r="H376"/>
  <c r="G186"/>
  <c r="G166"/>
  <c r="I279"/>
  <c r="I231"/>
  <c r="G302"/>
  <c r="I130"/>
  <c r="J121"/>
  <c r="H20"/>
  <c r="G56"/>
  <c r="I349"/>
  <c r="H194"/>
  <c r="J41"/>
  <c r="J49"/>
  <c r="G389"/>
  <c r="J226"/>
  <c r="H264"/>
  <c r="H206"/>
  <c r="H211"/>
  <c r="D18" i="9"/>
  <c r="G319" i="42"/>
  <c r="H227"/>
  <c r="G63"/>
  <c r="H284"/>
  <c r="H49"/>
  <c r="J349"/>
  <c r="I319"/>
  <c r="H172"/>
  <c r="H121"/>
  <c r="J166"/>
  <c r="J20"/>
  <c r="H389"/>
  <c r="H226"/>
  <c r="G226"/>
  <c r="G50"/>
  <c r="J264"/>
  <c r="G279"/>
  <c r="J319"/>
  <c r="I227"/>
  <c r="B15" i="8"/>
  <c r="B14"/>
  <c r="B22"/>
  <c r="B21"/>
  <c r="B19"/>
  <c r="B23"/>
  <c r="B18"/>
  <c r="B17"/>
  <c r="B20"/>
  <c r="B16"/>
  <c r="G49" i="42"/>
  <c r="I67"/>
  <c r="G30"/>
  <c r="H350"/>
  <c r="G284"/>
  <c r="J172"/>
  <c r="G351"/>
  <c r="G67"/>
  <c r="G48"/>
  <c r="J48"/>
  <c r="J31"/>
  <c r="I351"/>
  <c r="J130"/>
  <c r="J294"/>
  <c r="I294"/>
  <c r="H41"/>
  <c r="G41"/>
  <c r="J194"/>
  <c r="J126"/>
  <c r="J206"/>
  <c r="H351"/>
  <c r="J211"/>
  <c r="J231"/>
  <c r="J56"/>
  <c r="H229"/>
  <c r="H302"/>
  <c r="J30"/>
  <c r="F10"/>
  <c r="I48"/>
  <c r="I40"/>
  <c r="J67"/>
  <c r="I302"/>
  <c r="I30"/>
  <c r="G294"/>
  <c r="J186"/>
  <c r="J193"/>
  <c r="G46"/>
  <c r="H231"/>
  <c r="G229"/>
  <c r="I193"/>
  <c r="J157"/>
  <c r="J350"/>
  <c r="H63"/>
  <c r="G350"/>
  <c r="G31"/>
  <c r="H193"/>
  <c r="H10" i="24"/>
  <c r="H12" s="1"/>
  <c r="I46" i="42"/>
  <c r="H157"/>
  <c r="H126"/>
  <c r="I126"/>
  <c r="J46"/>
  <c r="J63"/>
  <c r="H166"/>
  <c r="D17" i="26"/>
  <c r="D18" s="1"/>
  <c r="I110" i="42"/>
  <c r="H110"/>
  <c r="J110"/>
  <c r="G110"/>
  <c r="G359"/>
  <c r="H359"/>
  <c r="J359"/>
  <c r="I359"/>
  <c r="J145"/>
  <c r="H145"/>
  <c r="I145"/>
  <c r="G145"/>
  <c r="J230"/>
  <c r="G230"/>
  <c r="I230"/>
  <c r="H230"/>
  <c r="G190"/>
  <c r="I190"/>
  <c r="H190"/>
  <c r="J190"/>
  <c r="J132"/>
  <c r="H132"/>
  <c r="I132"/>
  <c r="G132"/>
  <c r="J127"/>
  <c r="I127"/>
  <c r="H127"/>
  <c r="G127"/>
  <c r="G116"/>
  <c r="J116"/>
  <c r="I116"/>
  <c r="H116"/>
  <c r="G327"/>
  <c r="I327"/>
  <c r="H327"/>
  <c r="J327"/>
  <c r="I345"/>
  <c r="J345"/>
  <c r="G345"/>
  <c r="H345"/>
  <c r="J58"/>
  <c r="H58"/>
  <c r="I58"/>
  <c r="G58"/>
  <c r="I195"/>
  <c r="H195"/>
  <c r="G195"/>
  <c r="J195"/>
  <c r="H107"/>
  <c r="I107"/>
  <c r="J107"/>
  <c r="G107"/>
  <c r="H289"/>
  <c r="J289"/>
  <c r="G289"/>
  <c r="I289"/>
  <c r="H184"/>
  <c r="G184"/>
  <c r="I184"/>
  <c r="J184"/>
  <c r="H278"/>
  <c r="G278"/>
  <c r="J278"/>
  <c r="I278"/>
  <c r="H151"/>
  <c r="I151"/>
  <c r="G151"/>
  <c r="J151"/>
  <c r="I383"/>
  <c r="J383"/>
  <c r="G383"/>
  <c r="H383"/>
  <c r="H123"/>
  <c r="G123"/>
  <c r="J123"/>
  <c r="I123"/>
  <c r="J324"/>
  <c r="G324"/>
  <c r="H324"/>
  <c r="I324"/>
  <c r="G112"/>
  <c r="J112"/>
  <c r="H112"/>
  <c r="I112"/>
  <c r="H62"/>
  <c r="I62"/>
  <c r="G62"/>
  <c r="J62"/>
  <c r="J135"/>
  <c r="G135"/>
  <c r="I135"/>
  <c r="H135"/>
  <c r="G207"/>
  <c r="H207"/>
  <c r="I207"/>
  <c r="J207"/>
  <c r="G268"/>
  <c r="I268"/>
  <c r="H268"/>
  <c r="J268"/>
  <c r="H208"/>
  <c r="G208"/>
  <c r="I208"/>
  <c r="J208"/>
  <c r="I271"/>
  <c r="J271"/>
  <c r="G271"/>
  <c r="H271"/>
  <c r="J296"/>
  <c r="G296"/>
  <c r="I296"/>
  <c r="H296"/>
  <c r="G364"/>
  <c r="H364"/>
  <c r="I364"/>
  <c r="J364"/>
  <c r="G209"/>
  <c r="J209"/>
  <c r="H209"/>
  <c r="I209"/>
  <c r="J105"/>
  <c r="H105"/>
  <c r="G105"/>
  <c r="I105"/>
  <c r="H361"/>
  <c r="I361"/>
  <c r="J361"/>
  <c r="G361"/>
  <c r="G381"/>
  <c r="H381"/>
  <c r="J381"/>
  <c r="I381"/>
  <c r="J370"/>
  <c r="G370"/>
  <c r="H370"/>
  <c r="I370"/>
  <c r="I282"/>
  <c r="J282"/>
  <c r="H282"/>
  <c r="G282"/>
  <c r="H356"/>
  <c r="G356"/>
  <c r="J356"/>
  <c r="I356"/>
  <c r="I257"/>
  <c r="G257"/>
  <c r="H257"/>
  <c r="J257"/>
  <c r="I100"/>
  <c r="J100"/>
  <c r="G100"/>
  <c r="H100"/>
  <c r="G147"/>
  <c r="H147"/>
  <c r="J147"/>
  <c r="I147"/>
  <c r="I335"/>
  <c r="G335"/>
  <c r="H335"/>
  <c r="J335"/>
  <c r="I55"/>
  <c r="H55"/>
  <c r="J55"/>
  <c r="G55"/>
  <c r="G306"/>
  <c r="J306"/>
  <c r="I306"/>
  <c r="H306"/>
  <c r="J175"/>
  <c r="H175"/>
  <c r="G175"/>
  <c r="I175"/>
  <c r="I304"/>
  <c r="H304"/>
  <c r="J304"/>
  <c r="G304"/>
  <c r="H251"/>
  <c r="G251"/>
  <c r="I251"/>
  <c r="J251"/>
  <c r="H354"/>
  <c r="J354"/>
  <c r="I354"/>
  <c r="G354"/>
  <c r="I339"/>
  <c r="J339"/>
  <c r="H339"/>
  <c r="G339"/>
  <c r="J150"/>
  <c r="G150"/>
  <c r="I150"/>
  <c r="H150"/>
  <c r="I47"/>
  <c r="J47"/>
  <c r="G47"/>
  <c r="H47"/>
  <c r="J152"/>
  <c r="I152"/>
  <c r="H152"/>
  <c r="G152"/>
  <c r="J322"/>
  <c r="I322"/>
  <c r="G322"/>
  <c r="H322"/>
  <c r="I259"/>
  <c r="G259"/>
  <c r="J259"/>
  <c r="H259"/>
  <c r="J168"/>
  <c r="H168"/>
  <c r="I168"/>
  <c r="G168"/>
  <c r="H355"/>
  <c r="I355"/>
  <c r="J355"/>
  <c r="G355"/>
  <c r="I210"/>
  <c r="H210"/>
  <c r="J210"/>
  <c r="G210"/>
  <c r="J360"/>
  <c r="H360"/>
  <c r="I360"/>
  <c r="G360"/>
  <c r="I128"/>
  <c r="H128"/>
  <c r="J128"/>
  <c r="G128"/>
  <c r="H301"/>
  <c r="I301"/>
  <c r="J301"/>
  <c r="G301"/>
  <c r="J136"/>
  <c r="H136"/>
  <c r="I136"/>
  <c r="G136"/>
  <c r="H61"/>
  <c r="I61"/>
  <c r="G61"/>
  <c r="J61"/>
  <c r="I122"/>
  <c r="J122"/>
  <c r="G122"/>
  <c r="H122"/>
  <c r="H340"/>
  <c r="I340"/>
  <c r="G340"/>
  <c r="J340"/>
  <c r="I386"/>
  <c r="G386"/>
  <c r="H386"/>
  <c r="J386"/>
  <c r="J153"/>
  <c r="H153"/>
  <c r="I153"/>
  <c r="G153"/>
  <c r="G45"/>
  <c r="I45"/>
  <c r="J45"/>
  <c r="H45"/>
  <c r="G42"/>
  <c r="J42"/>
  <c r="I42"/>
  <c r="H42"/>
  <c r="I305"/>
  <c r="H305"/>
  <c r="G305"/>
  <c r="J305"/>
  <c r="H256"/>
  <c r="I256"/>
  <c r="G256"/>
  <c r="J256"/>
  <c r="I228"/>
  <c r="J228"/>
  <c r="H228"/>
  <c r="G228"/>
  <c r="H189"/>
  <c r="J189"/>
  <c r="G189"/>
  <c r="I189"/>
  <c r="H334"/>
  <c r="G334"/>
  <c r="I334"/>
  <c r="J334"/>
  <c r="G274"/>
  <c r="I274"/>
  <c r="H274"/>
  <c r="J274"/>
  <c r="G148"/>
  <c r="I148"/>
  <c r="H148"/>
  <c r="J148"/>
  <c r="H53"/>
  <c r="G53"/>
  <c r="I53"/>
  <c r="J53"/>
  <c r="H27"/>
  <c r="J27"/>
  <c r="I27"/>
  <c r="G27"/>
  <c r="I216"/>
  <c r="H216"/>
  <c r="J216"/>
  <c r="G216"/>
  <c r="I315"/>
  <c r="J315"/>
  <c r="H315"/>
  <c r="G315"/>
  <c r="I178"/>
  <c r="H178"/>
  <c r="J178"/>
  <c r="G178"/>
  <c r="H270"/>
  <c r="G270"/>
  <c r="I270"/>
  <c r="J270"/>
  <c r="J248"/>
  <c r="I248"/>
  <c r="G248"/>
  <c r="H248"/>
  <c r="H269"/>
  <c r="J269"/>
  <c r="G269"/>
  <c r="I269"/>
  <c r="I344"/>
  <c r="H344"/>
  <c r="G344"/>
  <c r="J344"/>
  <c r="G111"/>
  <c r="J111"/>
  <c r="H111"/>
  <c r="I111"/>
  <c r="H217"/>
  <c r="G217"/>
  <c r="I217"/>
  <c r="J217"/>
  <c r="H173"/>
  <c r="I173"/>
  <c r="J173"/>
  <c r="G173"/>
  <c r="I177"/>
  <c r="H177"/>
  <c r="G177"/>
  <c r="J177"/>
  <c r="I307"/>
  <c r="J307"/>
  <c r="H307"/>
  <c r="G307"/>
  <c r="J35"/>
  <c r="H35"/>
  <c r="I35"/>
  <c r="G35"/>
  <c r="J191"/>
  <c r="I191"/>
  <c r="H191"/>
  <c r="G191"/>
  <c r="I102"/>
  <c r="J102"/>
  <c r="H102"/>
  <c r="G102"/>
  <c r="G362"/>
  <c r="I362"/>
  <c r="H362"/>
  <c r="J362"/>
  <c r="H329"/>
  <c r="G329"/>
  <c r="I329"/>
  <c r="J329"/>
  <c r="H32"/>
  <c r="I32"/>
  <c r="J32"/>
  <c r="G32"/>
  <c r="I118"/>
  <c r="G118"/>
  <c r="H118"/>
  <c r="J118"/>
  <c r="I338"/>
  <c r="J338"/>
  <c r="G338"/>
  <c r="H338"/>
  <c r="I160"/>
  <c r="J160"/>
  <c r="H160"/>
  <c r="G160"/>
  <c r="G293"/>
  <c r="H293"/>
  <c r="I293"/>
  <c r="J293"/>
  <c r="H221"/>
  <c r="J221"/>
  <c r="I221"/>
  <c r="G221"/>
  <c r="J66"/>
  <c r="H66"/>
  <c r="I66"/>
  <c r="G66"/>
  <c r="G290"/>
  <c r="H290"/>
  <c r="I290"/>
  <c r="J290"/>
  <c r="I220"/>
  <c r="G220"/>
  <c r="H220"/>
  <c r="J220"/>
  <c r="G52"/>
  <c r="H52"/>
  <c r="J52"/>
  <c r="I52"/>
  <c r="I133"/>
  <c r="G133"/>
  <c r="H133"/>
  <c r="J133"/>
  <c r="J272"/>
  <c r="G272"/>
  <c r="H272"/>
  <c r="I272"/>
  <c r="G323"/>
  <c r="J323"/>
  <c r="H323"/>
  <c r="I323"/>
  <c r="H36"/>
  <c r="I36"/>
  <c r="J36"/>
  <c r="G36"/>
  <c r="J54"/>
  <c r="G54"/>
  <c r="I54"/>
  <c r="H54"/>
  <c r="J120"/>
  <c r="G120"/>
  <c r="H120"/>
  <c r="I120"/>
  <c r="H29"/>
  <c r="G29"/>
  <c r="J29"/>
  <c r="I29"/>
  <c r="I117"/>
  <c r="H117"/>
  <c r="J117"/>
  <c r="G117"/>
  <c r="H277"/>
  <c r="G277"/>
  <c r="J277"/>
  <c r="I277"/>
  <c r="J261"/>
  <c r="I261"/>
  <c r="G261"/>
  <c r="H261"/>
  <c r="I179"/>
  <c r="H179"/>
  <c r="J179"/>
  <c r="G179"/>
  <c r="I185"/>
  <c r="J185"/>
  <c r="H185"/>
  <c r="G185"/>
  <c r="G298"/>
  <c r="J298"/>
  <c r="I298"/>
  <c r="H298"/>
  <c r="J64"/>
  <c r="G64"/>
  <c r="I64"/>
  <c r="H64"/>
  <c r="J366"/>
  <c r="I366"/>
  <c r="G366"/>
  <c r="H366"/>
  <c r="J104"/>
  <c r="H104"/>
  <c r="G104"/>
  <c r="I104"/>
  <c r="J385"/>
  <c r="I385"/>
  <c r="G385"/>
  <c r="H385"/>
  <c r="H387"/>
  <c r="J387"/>
  <c r="G387"/>
  <c r="I387"/>
  <c r="G60"/>
  <c r="H60"/>
  <c r="J60"/>
  <c r="I60"/>
  <c r="G373"/>
  <c r="H373"/>
  <c r="I373"/>
  <c r="J373"/>
  <c r="H377"/>
  <c r="J377"/>
  <c r="G377"/>
  <c r="I377"/>
  <c r="G38"/>
  <c r="H38"/>
  <c r="J38"/>
  <c r="I38"/>
  <c r="I215"/>
  <c r="H215"/>
  <c r="J215"/>
  <c r="G215"/>
  <c r="I213"/>
  <c r="H213"/>
  <c r="J213"/>
  <c r="G213"/>
  <c r="G26"/>
  <c r="H26"/>
  <c r="J26"/>
  <c r="I26"/>
  <c r="I23"/>
  <c r="H23"/>
  <c r="G23"/>
  <c r="J23"/>
  <c r="J155"/>
  <c r="I155"/>
  <c r="G155"/>
  <c r="H155"/>
  <c r="G346"/>
  <c r="H346"/>
  <c r="I346"/>
  <c r="J346"/>
  <c r="J247"/>
  <c r="H247"/>
  <c r="G247"/>
  <c r="I247"/>
  <c r="H162"/>
  <c r="J162"/>
  <c r="I162"/>
  <c r="G162"/>
  <c r="I388"/>
  <c r="G388"/>
  <c r="J388"/>
  <c r="H388"/>
  <c r="J265"/>
  <c r="G265"/>
  <c r="H265"/>
  <c r="I265"/>
  <c r="G253"/>
  <c r="H253"/>
  <c r="J253"/>
  <c r="I253"/>
  <c r="J316"/>
  <c r="G316"/>
  <c r="H316"/>
  <c r="I316"/>
  <c r="I375"/>
  <c r="H375"/>
  <c r="J375"/>
  <c r="G375"/>
  <c r="J37"/>
  <c r="H37"/>
  <c r="G37"/>
  <c r="I37"/>
  <c r="H382"/>
  <c r="I382"/>
  <c r="J382"/>
  <c r="G382"/>
  <c r="H299"/>
  <c r="I299"/>
  <c r="J299"/>
  <c r="G299"/>
  <c r="J113"/>
  <c r="G113"/>
  <c r="I113"/>
  <c r="H113"/>
  <c r="H330"/>
  <c r="J330"/>
  <c r="I330"/>
  <c r="G330"/>
  <c r="I219"/>
  <c r="G219"/>
  <c r="H219"/>
  <c r="J219"/>
  <c r="J295"/>
  <c r="G295"/>
  <c r="I295"/>
  <c r="H295"/>
  <c r="J28"/>
  <c r="G28"/>
  <c r="H28"/>
  <c r="I28"/>
  <c r="G43"/>
  <c r="J43"/>
  <c r="I43"/>
  <c r="H43"/>
  <c r="H288"/>
  <c r="G288"/>
  <c r="I288"/>
  <c r="J288"/>
  <c r="J125"/>
  <c r="G125"/>
  <c r="H125"/>
  <c r="I125"/>
  <c r="J167"/>
  <c r="I167"/>
  <c r="H167"/>
  <c r="G167"/>
  <c r="H13" i="24"/>
  <c r="F7" i="23" s="1"/>
  <c r="D7"/>
  <c r="I348" i="42"/>
  <c r="J348"/>
  <c r="H348"/>
  <c r="G348"/>
  <c r="G260"/>
  <c r="I260"/>
  <c r="J260"/>
  <c r="H260"/>
  <c r="I369"/>
  <c r="H369"/>
  <c r="J369"/>
  <c r="G369"/>
  <c r="G161"/>
  <c r="H161"/>
  <c r="I161"/>
  <c r="J161"/>
  <c r="J131"/>
  <c r="I131"/>
  <c r="H131"/>
  <c r="G131"/>
  <c r="I33"/>
  <c r="H33"/>
  <c r="G33"/>
  <c r="J33"/>
  <c r="I59"/>
  <c r="J59"/>
  <c r="H59"/>
  <c r="G59"/>
  <c r="H156"/>
  <c r="J156"/>
  <c r="I156"/>
  <c r="G156"/>
  <c r="I372"/>
  <c r="J372"/>
  <c r="H372"/>
  <c r="G372"/>
  <c r="J196"/>
  <c r="G196"/>
  <c r="H196"/>
  <c r="I196"/>
  <c r="J188"/>
  <c r="G188"/>
  <c r="I188"/>
  <c r="H188"/>
  <c r="H212"/>
  <c r="I212"/>
  <c r="G212"/>
  <c r="J212"/>
  <c r="I158"/>
  <c r="H158"/>
  <c r="J158"/>
  <c r="G158"/>
  <c r="I115"/>
  <c r="G115"/>
  <c r="H115"/>
  <c r="J115"/>
  <c r="H332"/>
  <c r="G332"/>
  <c r="J332"/>
  <c r="I332"/>
  <c r="G180"/>
  <c r="I180"/>
  <c r="J180"/>
  <c r="H180"/>
  <c r="H99"/>
  <c r="I99"/>
  <c r="G99"/>
  <c r="J99"/>
  <c r="J285"/>
  <c r="G285"/>
  <c r="H285"/>
  <c r="I285"/>
  <c r="J281"/>
  <c r="H281"/>
  <c r="G281"/>
  <c r="I281"/>
  <c r="J222"/>
  <c r="I222"/>
  <c r="H222"/>
  <c r="G222"/>
  <c r="G68"/>
  <c r="H68"/>
  <c r="J68"/>
  <c r="I68"/>
  <c r="I365"/>
  <c r="H365"/>
  <c r="J365"/>
  <c r="G365"/>
  <c r="H137"/>
  <c r="I137"/>
  <c r="J137"/>
  <c r="G137"/>
  <c r="G341"/>
  <c r="H341"/>
  <c r="I341"/>
  <c r="J341"/>
  <c r="I174"/>
  <c r="G174"/>
  <c r="H174"/>
  <c r="J174"/>
  <c r="G343"/>
  <c r="H343"/>
  <c r="J343"/>
  <c r="I343"/>
  <c r="G57"/>
  <c r="H57"/>
  <c r="I57"/>
  <c r="J57"/>
  <c r="G250"/>
  <c r="J250"/>
  <c r="I250"/>
  <c r="H250"/>
  <c r="G333"/>
  <c r="I333"/>
  <c r="H333"/>
  <c r="J333"/>
  <c r="H101"/>
  <c r="I101"/>
  <c r="J101"/>
  <c r="G101"/>
  <c r="I183"/>
  <c r="H183"/>
  <c r="J183"/>
  <c r="G183"/>
  <c r="G267"/>
  <c r="H267"/>
  <c r="J267"/>
  <c r="I267"/>
  <c r="J291"/>
  <c r="H291"/>
  <c r="G291"/>
  <c r="I291"/>
  <c r="J25"/>
  <c r="G25"/>
  <c r="I25"/>
  <c r="H25"/>
  <c r="H65"/>
  <c r="I65"/>
  <c r="J65"/>
  <c r="G65"/>
  <c r="G218"/>
  <c r="I218"/>
  <c r="J218"/>
  <c r="H218"/>
  <c r="I357"/>
  <c r="H357"/>
  <c r="G357"/>
  <c r="J357"/>
  <c r="J318"/>
  <c r="I318"/>
  <c r="H318"/>
  <c r="G318"/>
  <c r="I138"/>
  <c r="J138"/>
  <c r="G138"/>
  <c r="H138"/>
  <c r="J378"/>
  <c r="G378"/>
  <c r="I378"/>
  <c r="H378"/>
  <c r="I165"/>
  <c r="H165"/>
  <c r="J165"/>
  <c r="G165"/>
  <c r="H39"/>
  <c r="J39"/>
  <c r="G39"/>
  <c r="I39"/>
  <c r="H276"/>
  <c r="G276"/>
  <c r="I276"/>
  <c r="J276"/>
  <c r="I146"/>
  <c r="G146"/>
  <c r="H146"/>
  <c r="J146"/>
  <c r="J258"/>
  <c r="I258"/>
  <c r="H258"/>
  <c r="G258"/>
  <c r="J275"/>
  <c r="G275"/>
  <c r="I275"/>
  <c r="H275"/>
  <c r="I254"/>
  <c r="G254"/>
  <c r="H254"/>
  <c r="J254"/>
  <c r="H163"/>
  <c r="G163"/>
  <c r="I163"/>
  <c r="J163"/>
  <c r="I328"/>
  <c r="J328"/>
  <c r="H328"/>
  <c r="G328"/>
  <c r="A41" i="56" l="1"/>
  <c r="A38"/>
  <c r="A36"/>
  <c r="A34"/>
  <c r="A32"/>
  <c r="A30"/>
  <c r="A28"/>
  <c r="A27"/>
  <c r="A24"/>
  <c r="A22"/>
  <c r="A20"/>
  <c r="A18"/>
  <c r="A16"/>
  <c r="A13"/>
  <c r="A11"/>
  <c r="A9"/>
  <c r="A8"/>
  <c r="A42"/>
  <c r="A40"/>
  <c r="A39"/>
  <c r="A37"/>
  <c r="A35"/>
  <c r="A33"/>
  <c r="A31"/>
  <c r="A29"/>
  <c r="A21"/>
  <c r="A26"/>
  <c r="A25"/>
  <c r="A23"/>
  <c r="A19"/>
  <c r="A17"/>
  <c r="A12"/>
  <c r="A10"/>
  <c r="F17" i="42"/>
  <c r="M17" s="1"/>
  <c r="F18"/>
  <c r="M18" s="1"/>
  <c r="F22"/>
  <c r="M22" s="1"/>
  <c r="F24"/>
  <c r="M24" s="1"/>
  <c r="F19"/>
  <c r="M19" s="1"/>
  <c r="F21"/>
  <c r="M21" s="1"/>
  <c r="F8" i="54"/>
  <c r="F8" i="52"/>
  <c r="F9" i="54"/>
  <c r="F9" i="52"/>
  <c r="D19" i="9"/>
  <c r="D20" s="1"/>
  <c r="F300" i="42"/>
  <c r="M300" s="1"/>
  <c r="F371"/>
  <c r="M371" s="1"/>
  <c r="F60"/>
  <c r="M60" s="1"/>
  <c r="F85"/>
  <c r="M85" s="1"/>
  <c r="F83"/>
  <c r="M83" s="1"/>
  <c r="F81"/>
  <c r="M81" s="1"/>
  <c r="F76"/>
  <c r="M76" s="1"/>
  <c r="F74"/>
  <c r="M74" s="1"/>
  <c r="F72"/>
  <c r="M72" s="1"/>
  <c r="F71"/>
  <c r="M71" s="1"/>
  <c r="F87"/>
  <c r="M87" s="1"/>
  <c r="F84"/>
  <c r="M84" s="1"/>
  <c r="F82"/>
  <c r="M82" s="1"/>
  <c r="F80"/>
  <c r="M80" s="1"/>
  <c r="F78"/>
  <c r="M78" s="1"/>
  <c r="F75"/>
  <c r="M75" s="1"/>
  <c r="F73"/>
  <c r="M73" s="1"/>
  <c r="F86"/>
  <c r="M86" s="1"/>
  <c r="F77"/>
  <c r="M77" s="1"/>
  <c r="F32"/>
  <c r="M32" s="1"/>
  <c r="F388"/>
  <c r="M388" s="1"/>
  <c r="F189"/>
  <c r="M189" s="1"/>
  <c r="F258"/>
  <c r="M258" s="1"/>
  <c r="F59"/>
  <c r="M59" s="1"/>
  <c r="F96"/>
  <c r="M96" s="1"/>
  <c r="F95"/>
  <c r="M95" s="1"/>
  <c r="F94"/>
  <c r="M94" s="1"/>
  <c r="F93"/>
  <c r="M93" s="1"/>
  <c r="F92"/>
  <c r="M92" s="1"/>
  <c r="F91"/>
  <c r="M91" s="1"/>
  <c r="F90"/>
  <c r="M90" s="1"/>
  <c r="F89"/>
  <c r="M89" s="1"/>
  <c r="F148"/>
  <c r="M148" s="1"/>
  <c r="F174"/>
  <c r="M174" s="1"/>
  <c r="F127"/>
  <c r="M127" s="1"/>
  <c r="F319"/>
  <c r="M319" s="1"/>
  <c r="F104"/>
  <c r="M104" s="1"/>
  <c r="F23"/>
  <c r="M23" s="1"/>
  <c r="F385"/>
  <c r="M385" s="1"/>
  <c r="F179"/>
  <c r="M179" s="1"/>
  <c r="F301"/>
  <c r="M301" s="1"/>
  <c r="F315"/>
  <c r="M315" s="1"/>
  <c r="F251"/>
  <c r="M251" s="1"/>
  <c r="F167"/>
  <c r="M167" s="1"/>
  <c r="F334"/>
  <c r="M334" s="1"/>
  <c r="F278"/>
  <c r="M278" s="1"/>
  <c r="F116"/>
  <c r="M116" s="1"/>
  <c r="F260"/>
  <c r="M260" s="1"/>
  <c r="F281"/>
  <c r="M281" s="1"/>
  <c r="F381"/>
  <c r="M381" s="1"/>
  <c r="F365"/>
  <c r="M365" s="1"/>
  <c r="F359"/>
  <c r="M359" s="1"/>
  <c r="F328"/>
  <c r="M328" s="1"/>
  <c r="F157"/>
  <c r="M157" s="1"/>
  <c r="F57"/>
  <c r="M57" s="1"/>
  <c r="F275"/>
  <c r="M275" s="1"/>
  <c r="F110"/>
  <c r="M110" s="1"/>
  <c r="F357"/>
  <c r="M357" s="1"/>
  <c r="F180"/>
  <c r="M180" s="1"/>
  <c r="F46"/>
  <c r="M46" s="1"/>
  <c r="F387"/>
  <c r="M387" s="1"/>
  <c r="F172"/>
  <c r="M172" s="1"/>
  <c r="F339"/>
  <c r="M339" s="1"/>
  <c r="F367"/>
  <c r="M367" s="1"/>
  <c r="F42"/>
  <c r="M42" s="1"/>
  <c r="F151"/>
  <c r="M151" s="1"/>
  <c r="F138"/>
  <c r="M138" s="1"/>
  <c r="F128"/>
  <c r="M128" s="1"/>
  <c r="F299"/>
  <c r="M299" s="1"/>
  <c r="F217"/>
  <c r="M217" s="1"/>
  <c r="F25"/>
  <c r="M25" s="1"/>
  <c r="F302"/>
  <c r="M302" s="1"/>
  <c r="F279"/>
  <c r="M279" s="1"/>
  <c r="F364"/>
  <c r="M364" s="1"/>
  <c r="F215"/>
  <c r="M215" s="1"/>
  <c r="F248"/>
  <c r="M248" s="1"/>
  <c r="F150"/>
  <c r="M150" s="1"/>
  <c r="F196"/>
  <c r="M196" s="1"/>
  <c r="F254"/>
  <c r="M254" s="1"/>
  <c r="F375"/>
  <c r="M375" s="1"/>
  <c r="F121"/>
  <c r="M121" s="1"/>
  <c r="F377"/>
  <c r="M377" s="1"/>
  <c r="F362"/>
  <c r="M362" s="1"/>
  <c r="F322"/>
  <c r="M322" s="1"/>
  <c r="F351"/>
  <c r="F340"/>
  <c r="M340" s="1"/>
  <c r="F343"/>
  <c r="M343" s="1"/>
  <c r="F345"/>
  <c r="M345" s="1"/>
  <c r="F37"/>
  <c r="M37" s="1"/>
  <c r="F54"/>
  <c r="M54" s="1"/>
  <c r="F188"/>
  <c r="M188" s="1"/>
  <c r="F26"/>
  <c r="M26" s="1"/>
  <c r="F55"/>
  <c r="M55" s="1"/>
  <c r="F211"/>
  <c r="M211" s="1"/>
  <c r="F288"/>
  <c r="M288" s="1"/>
  <c r="F65"/>
  <c r="M65" s="1"/>
  <c r="F274"/>
  <c r="M274" s="1"/>
  <c r="F112"/>
  <c r="M112" s="1"/>
  <c r="F177"/>
  <c r="M177" s="1"/>
  <c r="F228"/>
  <c r="M228" s="1"/>
  <c r="F64"/>
  <c r="M64" s="1"/>
  <c r="F265"/>
  <c r="M265" s="1"/>
  <c r="F45"/>
  <c r="M45" s="1"/>
  <c r="F131"/>
  <c r="M131" s="1"/>
  <c r="F20"/>
  <c r="M20" s="1"/>
  <c r="F378"/>
  <c r="M378" s="1"/>
  <c r="F384"/>
  <c r="M384" s="1"/>
  <c r="F350"/>
  <c r="M350" s="1"/>
  <c r="F107"/>
  <c r="M107" s="1"/>
  <c r="F126"/>
  <c r="M126" s="1"/>
  <c r="F48"/>
  <c r="M48" s="1"/>
  <c r="F52"/>
  <c r="M52" s="1"/>
  <c r="F208"/>
  <c r="M208" s="1"/>
  <c r="F227"/>
  <c r="M227" s="1"/>
  <c r="F152"/>
  <c r="M152" s="1"/>
  <c r="F348"/>
  <c r="M348" s="1"/>
  <c r="F53"/>
  <c r="M53" s="1"/>
  <c r="F289"/>
  <c r="M289" s="1"/>
  <c r="F162"/>
  <c r="M162" s="1"/>
  <c r="F120"/>
  <c r="M120" s="1"/>
  <c r="M351"/>
  <c r="F264"/>
  <c r="M264" s="1"/>
  <c r="F185"/>
  <c r="M185" s="1"/>
  <c r="F58"/>
  <c r="M58" s="1"/>
  <c r="F221"/>
  <c r="M221" s="1"/>
  <c r="F272"/>
  <c r="M272" s="1"/>
  <c r="F230"/>
  <c r="M230" s="1"/>
  <c r="F333"/>
  <c r="M333" s="1"/>
  <c r="F259"/>
  <c r="M259" s="1"/>
  <c r="F222"/>
  <c r="M222" s="1"/>
  <c r="F136"/>
  <c r="M136" s="1"/>
  <c r="F165"/>
  <c r="M165" s="1"/>
  <c r="F366"/>
  <c r="M366" s="1"/>
  <c r="F282"/>
  <c r="M282" s="1"/>
  <c r="F329"/>
  <c r="M329" s="1"/>
  <c r="F346"/>
  <c r="M346" s="1"/>
  <c r="F206"/>
  <c r="M206" s="1"/>
  <c r="F307"/>
  <c r="M307" s="1"/>
  <c r="F156"/>
  <c r="M156" s="1"/>
  <c r="F330"/>
  <c r="M330" s="1"/>
  <c r="F66"/>
  <c r="M66" s="1"/>
  <c r="F105"/>
  <c r="M105" s="1"/>
  <c r="F28"/>
  <c r="M28" s="1"/>
  <c r="F256"/>
  <c r="M256" s="1"/>
  <c r="F33"/>
  <c r="M33" s="1"/>
  <c r="F155"/>
  <c r="M155" s="1"/>
  <c r="F305"/>
  <c r="M305" s="1"/>
  <c r="F100"/>
  <c r="M100" s="1"/>
  <c r="F369"/>
  <c r="M369" s="1"/>
  <c r="F39"/>
  <c r="M39" s="1"/>
  <c r="F321"/>
  <c r="M321" s="1"/>
  <c r="F31"/>
  <c r="M31" s="1"/>
  <c r="F193"/>
  <c r="M193" s="1"/>
  <c r="F372"/>
  <c r="M372" s="1"/>
  <c r="F250"/>
  <c r="M250" s="1"/>
  <c r="F178"/>
  <c r="M178" s="1"/>
  <c r="F147"/>
  <c r="M147" s="1"/>
  <c r="F338"/>
  <c r="M338" s="1"/>
  <c r="F191"/>
  <c r="M191" s="1"/>
  <c r="F125"/>
  <c r="M125" s="1"/>
  <c r="F376"/>
  <c r="M376" s="1"/>
  <c r="F123"/>
  <c r="M123" s="1"/>
  <c r="F306"/>
  <c r="M306" s="1"/>
  <c r="F294"/>
  <c r="M294" s="1"/>
  <c r="F117"/>
  <c r="M117" s="1"/>
  <c r="F49"/>
  <c r="M49" s="1"/>
  <c r="F304"/>
  <c r="M304" s="1"/>
  <c r="F43"/>
  <c r="M43" s="1"/>
  <c r="F291"/>
  <c r="M291" s="1"/>
  <c r="F133"/>
  <c r="M133" s="1"/>
  <c r="F271"/>
  <c r="M271" s="1"/>
  <c r="F277"/>
  <c r="M277" s="1"/>
  <c r="F190"/>
  <c r="M190" s="1"/>
  <c r="F101"/>
  <c r="M101" s="1"/>
  <c r="F61"/>
  <c r="M61" s="1"/>
  <c r="F247"/>
  <c r="M247" s="1"/>
  <c r="F295"/>
  <c r="M295" s="1"/>
  <c r="F261"/>
  <c r="M261" s="1"/>
  <c r="F210"/>
  <c r="M210" s="1"/>
  <c r="F298"/>
  <c r="M298" s="1"/>
  <c r="F356"/>
  <c r="M356" s="1"/>
  <c r="F41"/>
  <c r="M41" s="1"/>
  <c r="F168"/>
  <c r="M168" s="1"/>
  <c r="F269"/>
  <c r="M269" s="1"/>
  <c r="F209"/>
  <c r="M209" s="1"/>
  <c r="F135"/>
  <c r="M135" s="1"/>
  <c r="F40"/>
  <c r="M40" s="1"/>
  <c r="F163"/>
  <c r="M163" s="1"/>
  <c r="F285"/>
  <c r="M285" s="1"/>
  <c r="F218"/>
  <c r="M218" s="1"/>
  <c r="F67"/>
  <c r="M67" s="1"/>
  <c r="F268"/>
  <c r="M268" s="1"/>
  <c r="F50"/>
  <c r="M50" s="1"/>
  <c r="F175"/>
  <c r="M175" s="1"/>
  <c r="F173"/>
  <c r="M173" s="1"/>
  <c r="F354"/>
  <c r="M354" s="1"/>
  <c r="F276"/>
  <c r="M276" s="1"/>
  <c r="F341"/>
  <c r="M341" s="1"/>
  <c r="F335"/>
  <c r="M335" s="1"/>
  <c r="F166"/>
  <c r="M166" s="1"/>
  <c r="F296"/>
  <c r="M296" s="1"/>
  <c r="F35"/>
  <c r="M35" s="1"/>
  <c r="F194"/>
  <c r="M194" s="1"/>
  <c r="F161"/>
  <c r="M161" s="1"/>
  <c r="F153"/>
  <c r="M153" s="1"/>
  <c r="F30"/>
  <c r="M30" s="1"/>
  <c r="F99"/>
  <c r="M99" s="1"/>
  <c r="F318"/>
  <c r="M318" s="1"/>
  <c r="F382"/>
  <c r="M382" s="1"/>
  <c r="F324"/>
  <c r="M324" s="1"/>
  <c r="F122"/>
  <c r="M122" s="1"/>
  <c r="F62"/>
  <c r="M62" s="1"/>
  <c r="F389"/>
  <c r="M389" s="1"/>
  <c r="F290"/>
  <c r="M290" s="1"/>
  <c r="F231"/>
  <c r="M231" s="1"/>
  <c r="F327"/>
  <c r="M327" s="1"/>
  <c r="F29"/>
  <c r="M29" s="1"/>
  <c r="F56"/>
  <c r="M56" s="1"/>
  <c r="F361"/>
  <c r="M361" s="1"/>
  <c r="F229"/>
  <c r="M229" s="1"/>
  <c r="F207"/>
  <c r="M207" s="1"/>
  <c r="F257"/>
  <c r="M257" s="1"/>
  <c r="F219"/>
  <c r="M219" s="1"/>
  <c r="F36"/>
  <c r="M36" s="1"/>
  <c r="F132"/>
  <c r="M132" s="1"/>
  <c r="F145"/>
  <c r="M145" s="1"/>
  <c r="F332"/>
  <c r="M332" s="1"/>
  <c r="F293"/>
  <c r="M293" s="1"/>
  <c r="F323"/>
  <c r="M323" s="1"/>
  <c r="F213"/>
  <c r="M213" s="1"/>
  <c r="F102"/>
  <c r="M102" s="1"/>
  <c r="F158"/>
  <c r="M158" s="1"/>
  <c r="F355"/>
  <c r="M355" s="1"/>
  <c r="F183"/>
  <c r="M183" s="1"/>
  <c r="F27"/>
  <c r="M27" s="1"/>
  <c r="F383"/>
  <c r="M383" s="1"/>
  <c r="F344"/>
  <c r="M344" s="1"/>
  <c r="F212"/>
  <c r="M212" s="1"/>
  <c r="F195"/>
  <c r="M195" s="1"/>
  <c r="F47"/>
  <c r="M47" s="1"/>
  <c r="F63"/>
  <c r="M63" s="1"/>
  <c r="F284"/>
  <c r="M284" s="1"/>
  <c r="F146"/>
  <c r="M146" s="1"/>
  <c r="F111"/>
  <c r="M111" s="1"/>
  <c r="F184"/>
  <c r="M184" s="1"/>
  <c r="F270"/>
  <c r="M270" s="1"/>
  <c r="F113"/>
  <c r="M113" s="1"/>
  <c r="F226"/>
  <c r="M226" s="1"/>
  <c r="F118"/>
  <c r="M118" s="1"/>
  <c r="F316"/>
  <c r="M316" s="1"/>
  <c r="F370"/>
  <c r="M370" s="1"/>
  <c r="F160"/>
  <c r="M160" s="1"/>
  <c r="F186"/>
  <c r="M186" s="1"/>
  <c r="F137"/>
  <c r="M137" s="1"/>
  <c r="F349"/>
  <c r="M349" s="1"/>
  <c r="F38"/>
  <c r="M38" s="1"/>
  <c r="F68"/>
  <c r="M68" s="1"/>
  <c r="F373"/>
  <c r="M373" s="1"/>
  <c r="F220"/>
  <c r="M220" s="1"/>
  <c r="F267"/>
  <c r="M267" s="1"/>
  <c r="F130"/>
  <c r="M130" s="1"/>
  <c r="F253"/>
  <c r="M253" s="1"/>
  <c r="F360"/>
  <c r="M360" s="1"/>
  <c r="F44"/>
  <c r="M44" s="1"/>
  <c r="F216"/>
  <c r="M216" s="1"/>
  <c r="F115"/>
  <c r="M115" s="1"/>
  <c r="F386"/>
  <c r="M386" s="1"/>
  <c r="D19" i="26"/>
  <c r="D20" s="1"/>
  <c r="D21" s="1"/>
  <c r="C6" i="44" s="1"/>
  <c r="C12" s="1"/>
  <c r="D10" i="23" s="1"/>
  <c r="D21" i="9" l="1"/>
  <c r="D22" i="26"/>
  <c r="D23" l="1"/>
  <c r="D6" i="44"/>
  <c r="D12" s="1"/>
  <c r="E10" i="23" s="1"/>
  <c r="D22" i="9"/>
  <c r="C6" i="43"/>
  <c r="C12" s="1"/>
  <c r="E8" i="6" s="1"/>
  <c r="D24" i="26" l="1"/>
  <c r="E6" i="44"/>
  <c r="E12" s="1"/>
  <c r="F10" i="23"/>
  <c r="D6" i="43"/>
  <c r="D12" s="1"/>
  <c r="F8" i="6" s="1"/>
  <c r="D23" i="9"/>
  <c r="D24" l="1"/>
  <c r="F6" i="43" s="1"/>
  <c r="F12" s="1"/>
  <c r="G9" i="6" s="1"/>
  <c r="E9" s="1"/>
  <c r="F9" s="1"/>
  <c r="F7" s="1"/>
  <c r="E6" i="43"/>
  <c r="E12" s="1"/>
  <c r="G8" i="6" s="1"/>
  <c r="D25" i="26"/>
  <c r="F6" i="44"/>
  <c r="F12" s="1"/>
  <c r="F11" i="23" s="1"/>
  <c r="F9" s="1"/>
  <c r="F12" l="1"/>
  <c r="F10" i="54"/>
  <c r="F10" i="52"/>
  <c r="G7" i="6"/>
  <c r="D11" i="23"/>
  <c r="D9" s="1"/>
  <c r="D12" s="1"/>
  <c r="D13" s="1"/>
  <c r="D25" i="9"/>
  <c r="D26" i="26"/>
  <c r="G6" i="44"/>
  <c r="G12" s="1"/>
  <c r="E7" i="6"/>
  <c r="E21" i="57" l="1"/>
  <c r="G21" s="1"/>
  <c r="E25" i="56"/>
  <c r="F25" s="1"/>
  <c r="G25" s="1"/>
  <c r="D12" i="49"/>
  <c r="E12" s="1"/>
  <c r="F6" i="54"/>
  <c r="F6" i="52"/>
  <c r="F7" i="54"/>
  <c r="F21" s="1"/>
  <c r="C4" i="7"/>
  <c r="D2" i="8"/>
  <c r="N35" s="1"/>
  <c r="D26" i="9"/>
  <c r="G6" i="43"/>
  <c r="G12" s="1"/>
  <c r="E10" i="6"/>
  <c r="E11" i="23"/>
  <c r="E9" s="1"/>
  <c r="E12" s="1"/>
  <c r="E13" s="1"/>
  <c r="F10" i="6" s="1"/>
  <c r="B14" i="43"/>
  <c r="E22" i="57" l="1"/>
  <c r="G22" s="1"/>
  <c r="E27" i="56"/>
  <c r="E8" i="57"/>
  <c r="F8" s="1"/>
  <c r="G8" s="1"/>
  <c r="F19" i="54"/>
  <c r="F20"/>
  <c r="D3" i="8"/>
  <c r="F13" i="23"/>
  <c r="D25" i="8"/>
  <c r="D26"/>
  <c r="K26"/>
  <c r="K16"/>
  <c r="K22"/>
  <c r="E22" s="1"/>
  <c r="D22" s="1"/>
  <c r="K18"/>
  <c r="J18" s="1"/>
  <c r="G28"/>
  <c r="K19"/>
  <c r="J19" s="1"/>
  <c r="G29"/>
  <c r="K25"/>
  <c r="J25" s="1"/>
  <c r="K20"/>
  <c r="J20" s="1"/>
  <c r="F27" i="56" l="1"/>
  <c r="G27" s="1"/>
  <c r="G10" i="6"/>
  <c r="D13" i="49" s="1"/>
  <c r="E13" s="1"/>
  <c r="E16" i="48"/>
  <c r="N36" i="8"/>
  <c r="K14" s="1"/>
  <c r="F8"/>
  <c r="G27"/>
  <c r="E27"/>
  <c r="E15"/>
  <c r="G15"/>
  <c r="G25"/>
  <c r="G22"/>
  <c r="J16"/>
  <c r="E16"/>
  <c r="D16" s="1"/>
  <c r="J22"/>
  <c r="J26"/>
  <c r="G26"/>
  <c r="E18"/>
  <c r="D18" s="1"/>
  <c r="G18"/>
  <c r="G20"/>
  <c r="E28"/>
  <c r="H28" s="1"/>
  <c r="E26"/>
  <c r="E20"/>
  <c r="D20" s="1"/>
  <c r="E19"/>
  <c r="D19" s="1"/>
  <c r="E29"/>
  <c r="H29" s="1"/>
  <c r="G19"/>
  <c r="E25"/>
  <c r="C19" i="57" l="1"/>
  <c r="E19" s="1"/>
  <c r="G19" s="1"/>
  <c r="C14"/>
  <c r="E14" s="1"/>
  <c r="C5" i="7"/>
  <c r="K23" i="8"/>
  <c r="K21"/>
  <c r="D12"/>
  <c r="K12"/>
  <c r="M14"/>
  <c r="L14" s="1"/>
  <c r="K15"/>
  <c r="J15" s="1"/>
  <c r="D14"/>
  <c r="H27"/>
  <c r="F27"/>
  <c r="F15"/>
  <c r="H15" s="1"/>
  <c r="W20"/>
  <c r="R20"/>
  <c r="Y20"/>
  <c r="Q20"/>
  <c r="P20"/>
  <c r="T20"/>
  <c r="Z20"/>
  <c r="X20"/>
  <c r="V20"/>
  <c r="S20"/>
  <c r="F29"/>
  <c r="F26"/>
  <c r="H26" s="1"/>
  <c r="F28"/>
  <c r="F25"/>
  <c r="H25" s="1"/>
  <c r="F20"/>
  <c r="H20" s="1"/>
  <c r="F19"/>
  <c r="H19" s="1"/>
  <c r="F22"/>
  <c r="H22" s="1"/>
  <c r="F18"/>
  <c r="H18" s="1"/>
  <c r="C18" i="56" l="1"/>
  <c r="E18" s="1"/>
  <c r="F18" s="1"/>
  <c r="G18" s="1"/>
  <c r="C17"/>
  <c r="E17" s="1"/>
  <c r="C28"/>
  <c r="C22"/>
  <c r="F14" i="57"/>
  <c r="F24" s="1"/>
  <c r="F25" s="1"/>
  <c r="C20" i="56"/>
  <c r="C20" i="57"/>
  <c r="E20" s="1"/>
  <c r="G20" s="1"/>
  <c r="J23" i="8"/>
  <c r="E23"/>
  <c r="G23"/>
  <c r="J21"/>
  <c r="G21"/>
  <c r="E21"/>
  <c r="E14"/>
  <c r="F14" s="1"/>
  <c r="H14" s="1"/>
  <c r="G14"/>
  <c r="J14"/>
  <c r="J12"/>
  <c r="G12"/>
  <c r="E12"/>
  <c r="O20"/>
  <c r="O19"/>
  <c r="P19"/>
  <c r="Z19"/>
  <c r="R19"/>
  <c r="X19"/>
  <c r="V19"/>
  <c r="Y19"/>
  <c r="S19"/>
  <c r="Q19"/>
  <c r="T19"/>
  <c r="W19"/>
  <c r="F17" i="56" l="1"/>
  <c r="G17" s="1"/>
  <c r="E28"/>
  <c r="F28" s="1"/>
  <c r="G28" s="1"/>
  <c r="E22"/>
  <c r="F22" s="1"/>
  <c r="G22" s="1"/>
  <c r="E20"/>
  <c r="F20" s="1"/>
  <c r="G20" s="1"/>
  <c r="F14" i="6"/>
  <c r="G14" i="57"/>
  <c r="G24" s="1"/>
  <c r="G25" s="1"/>
  <c r="E24"/>
  <c r="E25" s="1"/>
  <c r="C8" i="56"/>
  <c r="E8" s="1"/>
  <c r="D21" i="8"/>
  <c r="F21" s="1"/>
  <c r="H21" s="1"/>
  <c r="D23"/>
  <c r="F23" s="1"/>
  <c r="H23" s="1"/>
  <c r="F12"/>
  <c r="H12"/>
  <c r="G16"/>
  <c r="N20"/>
  <c r="N19"/>
  <c r="G14" i="6" l="1"/>
  <c r="E14"/>
  <c r="C12"/>
  <c r="E12" s="1"/>
  <c r="C29" i="56"/>
  <c r="E29" s="1"/>
  <c r="F8"/>
  <c r="G8" s="1"/>
  <c r="C23"/>
  <c r="E23" s="1"/>
  <c r="F16" i="8"/>
  <c r="H16" s="1"/>
  <c r="E39" i="56" l="1"/>
  <c r="C14"/>
  <c r="E14" s="1"/>
  <c r="F23"/>
  <c r="G23" s="1"/>
  <c r="G12" i="6"/>
  <c r="F14" i="54" s="1"/>
  <c r="F29" i="56"/>
  <c r="G29" s="1"/>
  <c r="C8" i="7"/>
  <c r="D17" i="49"/>
  <c r="E17" s="1"/>
  <c r="H17" i="8"/>
  <c r="D15" i="49" l="1"/>
  <c r="E15" s="1"/>
  <c r="C6" i="7"/>
  <c r="F14" i="52"/>
  <c r="F14" i="56"/>
  <c r="G14" s="1"/>
  <c r="C15"/>
  <c r="E15" s="1"/>
  <c r="F39"/>
  <c r="G39" s="1"/>
  <c r="D15" l="1"/>
  <c r="F13" i="54"/>
  <c r="F13" i="52"/>
  <c r="F15" i="56" l="1"/>
  <c r="F43" s="1"/>
  <c r="F44" s="1"/>
  <c r="E43"/>
  <c r="E44" s="1"/>
  <c r="G15" l="1"/>
  <c r="G43" s="1"/>
  <c r="G44" s="1"/>
  <c r="F13" i="6"/>
  <c r="E13"/>
  <c r="G13" l="1"/>
  <c r="D16" i="49" s="1"/>
  <c r="E16" s="1"/>
  <c r="C7" i="7" l="1"/>
  <c r="C9" s="1"/>
  <c r="C13" l="1"/>
  <c r="C27"/>
  <c r="C40" s="1"/>
  <c r="C41" s="1"/>
  <c r="C42" s="1"/>
  <c r="C43" s="1"/>
  <c r="G27"/>
  <c r="G40" s="1"/>
  <c r="G41" s="1"/>
  <c r="G42" s="1"/>
  <c r="E27"/>
  <c r="E40" s="1"/>
  <c r="E41" s="1"/>
  <c r="E42" s="1"/>
  <c r="F27"/>
  <c r="F40" s="1"/>
  <c r="F41" s="1"/>
  <c r="F42" s="1"/>
  <c r="D27"/>
  <c r="D40" s="1"/>
  <c r="D41" s="1"/>
  <c r="D42" s="1"/>
  <c r="D17" i="48"/>
  <c r="D43" i="7" l="1"/>
  <c r="E43" s="1"/>
  <c r="F43" s="1"/>
  <c r="G43" s="1"/>
  <c r="D45" s="1"/>
  <c r="G15" i="6" l="1"/>
  <c r="D46" i="7"/>
  <c r="F7" i="52"/>
  <c r="G16" i="6" l="1"/>
  <c r="E15"/>
  <c r="E16" s="1"/>
  <c r="E17" s="1"/>
  <c r="D18" i="49"/>
  <c r="F20" i="52"/>
  <c r="F19"/>
  <c r="F21"/>
  <c r="F15" i="6" l="1"/>
  <c r="F16" s="1"/>
  <c r="F17" s="1"/>
  <c r="G17" s="1"/>
  <c r="E26" i="3" s="1"/>
  <c r="D19" i="49"/>
  <c r="E18"/>
  <c r="E19" s="1"/>
  <c r="F5" i="52"/>
  <c r="F5" i="54"/>
  <c r="E16" i="2" l="1"/>
  <c r="F11" i="54"/>
  <c r="F17"/>
  <c r="F16"/>
  <c r="F16" i="52"/>
  <c r="F11"/>
  <c r="F17"/>
  <c r="D17" i="2"/>
  <c r="F26" i="52" l="1"/>
  <c r="F25"/>
  <c r="F24"/>
  <c r="F22"/>
  <c r="F22" i="54"/>
  <c r="F24"/>
  <c r="F25"/>
  <c r="F26"/>
</calcChain>
</file>

<file path=xl/comments1.xml><?xml version="1.0" encoding="utf-8"?>
<comments xmlns="http://schemas.openxmlformats.org/spreadsheetml/2006/main">
  <authors>
    <author>TheAnh</author>
  </authors>
  <commentList>
    <comment ref="A100" authorId="0">
      <text>
        <r>
          <rPr>
            <b/>
            <sz val="9"/>
            <color indexed="81"/>
            <rFont val="Tahoma"/>
            <family val="2"/>
            <charset val="163"/>
          </rPr>
          <t>END</t>
        </r>
      </text>
    </comment>
  </commentList>
</comments>
</file>

<file path=xl/comments2.xml><?xml version="1.0" encoding="utf-8"?>
<comments xmlns="http://schemas.openxmlformats.org/spreadsheetml/2006/main">
  <authors>
    <author>vantruong</author>
  </authors>
  <commentList>
    <comment ref="A14" authorId="0">
      <text>
        <r>
          <rPr>
            <sz val="8"/>
            <color indexed="81"/>
            <rFont val="Tahoma"/>
            <family val="2"/>
          </rPr>
          <t>END</t>
        </r>
      </text>
    </comment>
  </commentList>
</comments>
</file>

<file path=xl/comments3.xml><?xml version="1.0" encoding="utf-8"?>
<comments xmlns="http://schemas.openxmlformats.org/spreadsheetml/2006/main">
  <authors>
    <author>CAU - UT</author>
  </authors>
  <commentList>
    <comment ref="A7" authorId="0">
      <text>
        <r>
          <rPr>
            <b/>
            <sz val="8"/>
            <color indexed="81"/>
            <rFont val="Tahoma"/>
            <family val="2"/>
            <charset val="163"/>
          </rPr>
          <t>END</t>
        </r>
      </text>
    </comment>
  </commentList>
</comments>
</file>

<file path=xl/comments4.xml><?xml version="1.0" encoding="utf-8"?>
<comments xmlns="http://schemas.openxmlformats.org/spreadsheetml/2006/main">
  <authors>
    <author>Vantruong</author>
  </authors>
  <commentList>
    <comment ref="B30" authorId="0">
      <text>
        <r>
          <rPr>
            <b/>
            <sz val="8"/>
            <color indexed="81"/>
            <rFont val="Tahoma"/>
            <family val="2"/>
          </rPr>
          <t>BSL</t>
        </r>
      </text>
    </comment>
  </commentList>
</comments>
</file>

<file path=xl/comments5.xml><?xml version="1.0" encoding="utf-8"?>
<comments xmlns="http://schemas.openxmlformats.org/spreadsheetml/2006/main">
  <authors>
    <author>TheAnh</author>
  </authors>
  <commentList>
    <comment ref="A28" authorId="0">
      <text>
        <r>
          <rPr>
            <b/>
            <sz val="9"/>
            <color indexed="81"/>
            <rFont val="Tahoma"/>
            <family val="2"/>
            <charset val="163"/>
          </rPr>
          <t>END</t>
        </r>
      </text>
    </comment>
  </commentList>
</comments>
</file>

<file path=xl/comments6.xml><?xml version="1.0" encoding="utf-8"?>
<comments xmlns="http://schemas.openxmlformats.org/spreadsheetml/2006/main">
  <authors>
    <author>vantruong</author>
  </authors>
  <commentList>
    <comment ref="A14" authorId="0">
      <text>
        <r>
          <rPr>
            <sz val="8"/>
            <color indexed="81"/>
            <rFont val="Tahoma"/>
            <family val="2"/>
          </rPr>
          <t>END</t>
        </r>
      </text>
    </comment>
  </commentList>
</comments>
</file>

<file path=xl/comments7.xml><?xml version="1.0" encoding="utf-8"?>
<comments xmlns="http://schemas.openxmlformats.org/spreadsheetml/2006/main">
  <authors>
    <author>CAU - UT</author>
  </authors>
  <commentList>
    <comment ref="A7" authorId="0">
      <text>
        <r>
          <rPr>
            <b/>
            <sz val="8"/>
            <color indexed="81"/>
            <rFont val="Tahoma"/>
            <family val="2"/>
            <charset val="163"/>
          </rPr>
          <t>END</t>
        </r>
      </text>
    </comment>
  </commentList>
</comments>
</file>

<file path=xl/comments8.xml><?xml version="1.0" encoding="utf-8"?>
<comments xmlns="http://schemas.openxmlformats.org/spreadsheetml/2006/main">
  <authors>
    <author>Vantruong</author>
  </authors>
  <commentList>
    <comment ref="B30" authorId="0">
      <text>
        <r>
          <rPr>
            <b/>
            <sz val="8"/>
            <color indexed="81"/>
            <rFont val="Tahoma"/>
            <family val="2"/>
          </rPr>
          <t>BSL</t>
        </r>
      </text>
    </comment>
  </commentList>
</comments>
</file>

<file path=xl/comments9.xml><?xml version="1.0" encoding="utf-8"?>
<comments xmlns="http://schemas.openxmlformats.org/spreadsheetml/2006/main">
  <authors>
    <author>TheAnh</author>
  </authors>
  <commentList>
    <comment ref="A12" authorId="0">
      <text>
        <r>
          <rPr>
            <b/>
            <sz val="9"/>
            <color indexed="81"/>
            <rFont val="Tahoma"/>
            <family val="2"/>
            <charset val="163"/>
          </rPr>
          <t>END</t>
        </r>
      </text>
    </comment>
  </commentList>
</comments>
</file>

<file path=xl/sharedStrings.xml><?xml version="1.0" encoding="utf-8"?>
<sst xmlns="http://schemas.openxmlformats.org/spreadsheetml/2006/main" count="2837" uniqueCount="1322">
  <si>
    <t xml:space="preserve">      - Đơn giá xây dựng công trình phần lắp đặt ban hành kèm theo quyết định số .../2006/QĐ-UBND ngày .../.../2006 của UBND ....</t>
  </si>
  <si>
    <t xml:space="preserve">      - Bảng giá ca máy và thiết bị thi công ban hành kèm theo quyết định số .../2006/QĐ-UBND ngày .../.../2006 của Tỉnh ....</t>
  </si>
  <si>
    <t>CÁC THÔNG SỐ BAN ĐẦU VỀ CÔNG TRÌNH</t>
  </si>
  <si>
    <t>WWW.GIAXAYDUNG.VN CHUNG TAY XÂY DỰNG ĐẤT NƯỚC</t>
  </si>
  <si>
    <t>Bậc hàng</t>
  </si>
  <si>
    <t>Hệ số</t>
  </si>
  <si>
    <t>VAT</t>
  </si>
  <si>
    <t>BẢNG 3.7. ĐỊNH MỨC CHI PHÍ TRỰC TIẾP KHÁC</t>
  </si>
  <si>
    <t>LOẠI CÔNG TRÌNH</t>
  </si>
  <si>
    <t>TT</t>
  </si>
  <si>
    <t>Công trình dân dụng</t>
  </si>
  <si>
    <t>Trong đô thị</t>
  </si>
  <si>
    <t>Ngoài đô thị</t>
  </si>
  <si>
    <t>Chủ đầu tư:</t>
  </si>
  <si>
    <t>Công trình công nghiệp</t>
  </si>
  <si>
    <t>Công tác xây dựng trong hầm lò, hầm thủy điện</t>
  </si>
  <si>
    <t>Địa điểm xây dựng công trình:</t>
  </si>
  <si>
    <t>Công trình giao thông</t>
  </si>
  <si>
    <t>Công tác xây dựng trong đường hàm giao thông</t>
  </si>
  <si>
    <t>Công trình thủy lợi</t>
  </si>
  <si>
    <t>Hệ số vật liệu</t>
  </si>
  <si>
    <t>Công trình hạ tầng kỹ thuật</t>
  </si>
  <si>
    <t>Hệ số nhân công</t>
  </si>
  <si>
    <t>Hệ số máy xây dựng</t>
  </si>
  <si>
    <t>Định mức chi phí trực tiếp khác (TT)</t>
  </si>
  <si>
    <t>BẢNG 3.8. ĐỊNH MỨC CHI PHÍ CHUNG, THU NHẬP CHỊU THUẾ TÍNH TRƯỚC</t>
  </si>
  <si>
    <t xml:space="preserve">Định mức chi phí chung (C) </t>
  </si>
  <si>
    <t>Định mức thu nhập chịu thuế tính trước (TL)</t>
  </si>
  <si>
    <t>Thuế suất thuế giá trị gia tăng (TGTGT-XD)</t>
  </si>
  <si>
    <t>Tỷ lệ chi phí XD nhà tạm tại hiện trường để ở và điều hành thi công</t>
  </si>
  <si>
    <t>Công trình tu bổ, phục hồi di tích lịch sử, văn hóa</t>
  </si>
  <si>
    <t>Chi phí khảo sát</t>
  </si>
  <si>
    <t>Mức lương tối thiểu chung (LTTC)</t>
  </si>
  <si>
    <t>Mức lương tối thiểu vùng (LTTV)</t>
  </si>
  <si>
    <t>Công tác duy tu sửa chữa thường xuyên  đường bộ, đường sắt, đường thủy nội địa, hệ thống báo hiệu hàng hải và đường thủy nội địa</t>
  </si>
  <si>
    <t/>
  </si>
  <si>
    <t>Phụ cấp lưu động (20%LTTC)</t>
  </si>
  <si>
    <t>Công trình hầm giao thông</t>
  </si>
  <si>
    <t>Tìm ở văn bản nào?</t>
  </si>
  <si>
    <t>Đào, đắp đất công trình thủy lợi bằng thủ công</t>
  </si>
  <si>
    <t>Phụ cấp khu vực (0%LTTC)</t>
  </si>
  <si>
    <t>Công tác lắp đặt thiết bị công nghệ trong các công trình xây dựng, công tác xây lắp đường dây, công tác thí nghiệm hiệu chỉnh điện đường dây và trạm biến áp, công tác thí nghiệm vật liệu, cấu kiện và kết cấu xây dựng</t>
  </si>
  <si>
    <t>Các bảng 3.7 và 3.8 trích từ Thông tư số 04/2010/TT-BXD ngày 26/05/2010 của Bộ Xây Dựng.</t>
  </si>
  <si>
    <t>Phụ cấp độc hại (0%LTTC)</t>
  </si>
  <si>
    <t>Giá nhiên liệu trong bảng giá ca máy địa phương (giá ca máy gốc)</t>
  </si>
  <si>
    <t>Xăng (đồng/lít)</t>
  </si>
  <si>
    <t>Dầu Diezel (đồng/lít)</t>
  </si>
  <si>
    <t>Ma dút (đồng/lít)</t>
  </si>
  <si>
    <t>Dầu hỏa (đồng/lít)</t>
  </si>
  <si>
    <t>Dầu DO (đồng/lít)</t>
  </si>
  <si>
    <t>Điện (đồng/kw)</t>
  </si>
  <si>
    <t>Giá nhiên liệu ở thời điểm hiện tại để tính giá ca máy và bù giá ca máy</t>
  </si>
  <si>
    <t>Lưu ý:</t>
  </si>
  <si>
    <t>Nếu sử dụng đơn giá địa phương để lập dự toán, hãy chọn hệ số ở phần hướng dẫn chung trong cuốn đơn giá của từng tỉnh.</t>
  </si>
  <si>
    <t>BẢNG TỔNG HỢP DỰ TOÁN CÔNG TRÌNH</t>
  </si>
  <si>
    <t>NỘI DUNG CHI PHÍ</t>
  </si>
  <si>
    <t>ĐMTL</t>
  </si>
  <si>
    <t>CÁCH TÍNH</t>
  </si>
  <si>
    <t>CHI PHÍ TRƯỚC THUẾ</t>
  </si>
  <si>
    <t>THUẾ GTGT</t>
  </si>
  <si>
    <t>CHI PHÍ SAU THUẾ</t>
  </si>
  <si>
    <t>(1.1)+(1.2)</t>
  </si>
  <si>
    <t>1.1</t>
  </si>
  <si>
    <t>Chi phí xây dựng</t>
  </si>
  <si>
    <t>bảng tính</t>
  </si>
  <si>
    <t>1.2</t>
  </si>
  <si>
    <t>Chi phí nhà tạm tại hiện trường để ở và điều hành thi công</t>
  </si>
  <si>
    <t>Chi phí bồi thường, hỗ trợ và tái định cư</t>
  </si>
  <si>
    <t>Tổng cộng:</t>
  </si>
  <si>
    <t>(1)+(2)+(3)+(4)+(5)+(6)</t>
  </si>
  <si>
    <t>NGƯỜI LẬP</t>
  </si>
  <si>
    <t>NGƯỜI CHỦ TRÌ</t>
  </si>
  <si>
    <t>Chứng chỉ KS định giá XD hạng …, số …</t>
  </si>
  <si>
    <t>BẢNG TỔNG HỢP CHI PHÍ TƯ VẤN</t>
  </si>
  <si>
    <t>Chi phí lập quy hoạch chi tiết 1/500 (trường hợp ở mục 3.2.3 - QĐ 957)</t>
  </si>
  <si>
    <t>65% mức chi phí lập quy hoạch chi tiết QHĐT</t>
  </si>
  <si>
    <t>Chi phí khảo sát địa chất</t>
  </si>
  <si>
    <t>Theo hợp đồng KSĐC</t>
  </si>
  <si>
    <t>Chi phí lập nhiệm vụ khảo sát xây dựng</t>
  </si>
  <si>
    <t>Lập dự toán riêng</t>
  </si>
  <si>
    <t>Chi phí khảo sát xây dựng</t>
  </si>
  <si>
    <t>Chi phí giám sát khảo sát xây dựng</t>
  </si>
  <si>
    <t>Chi phí thi tuyển, tuyển chọn thiết kế kiến trúc</t>
  </si>
  <si>
    <t>Chi phí đo vẽ hiện trạng (Nếu trong dự án có công trình phải tháo dỡ hoặc sửa chữa)</t>
  </si>
  <si>
    <t>Chi phí thẩm tra tính hiệu quả và khả thi của dự án đầu tư</t>
  </si>
  <si>
    <t>Chi phí thẩm tra thiết kế kỹ thuật, thiết kế bản vẽ thi công</t>
  </si>
  <si>
    <t>Chi phí thẩm tra tổng mức đầu tư</t>
  </si>
  <si>
    <t>Chi phí thẩm tra dự toán xây dựng công trình</t>
  </si>
  <si>
    <t>Chi phí thẩm định giá thiết bị</t>
  </si>
  <si>
    <t>HĐ thẩm định giá</t>
  </si>
  <si>
    <t>Chi phí chi phí lập hồ sơ mời thầu, đánh giá hồ sơ dự thầu thi công xây dựng</t>
  </si>
  <si>
    <t>Chi phí lập hồ sơ mời thầu, đánh giá hồ sơ dự thầu mua sắm thiết bị</t>
  </si>
  <si>
    <t>Chi phí thẩm tra hồ sơ mời thầu XL</t>
  </si>
  <si>
    <t>Chi phí thẩm tra hồ sơ mời thầu TB</t>
  </si>
  <si>
    <t>Chi phí giám sát thi công xây dựng</t>
  </si>
  <si>
    <t>Chi phí giám sát lắp đặt thiết bị</t>
  </si>
  <si>
    <t>Chi phí lập báo cáo đánh giá tác động môi trường (ĐTM)</t>
  </si>
  <si>
    <t>Chi phí lập định mức xây dựng, đơn giá xây dựng công trình</t>
  </si>
  <si>
    <t>Chi phí kiểm soát chi phí xây dựng</t>
  </si>
  <si>
    <t>Chi phí quản lý chi phí đầu tư xây dựng: tổng mức đầu tư, dự toán công trình, định mức xây dựng, đơn giá xây dựng công trình, hợp đồng trong hoạt động xây dựng,...</t>
  </si>
  <si>
    <t>Chi phí tư vấn quản lý dự án (trường hợp thuê tư vấn)</t>
  </si>
  <si>
    <t>Chi phí thí nghiệm chuyên ngành</t>
  </si>
  <si>
    <t>Chi phí kiểm tra chất lượng vật liệu, kiểm định chất lượng công trình theo yêu cầu của Chủ đầu tư</t>
  </si>
  <si>
    <t>Chi phí kiểm định chất lượng xây dựng</t>
  </si>
  <si>
    <t>Chi phí kiểm tra chứng nhận đủ điều kiện bảo đảm an toàn chịu lực và chứng nhận sự phù hợp về chất lượng công trình</t>
  </si>
  <si>
    <t>Chi phí giám sát, đánh giá dự án đầu tư xây dựng công trình</t>
  </si>
  <si>
    <t>Chi phí giám định tư pháp trong xây dựng</t>
  </si>
  <si>
    <t>Chi phí quy đổi vốn đầu tư xây dựng công trình tại thời điểm bàn giao, đưa vào khai thác sử dụng</t>
  </si>
  <si>
    <t>Chi phí thực hiện các công việc tư vấn khác</t>
  </si>
  <si>
    <t>BẢNG TỔNG HỢP CHI PHÍ KHÁC</t>
  </si>
  <si>
    <t>Chi phí rà phá bom mìn, vật nổ</t>
  </si>
  <si>
    <t>Chi phí bảo hiểm công trình</t>
  </si>
  <si>
    <t>Chi phí bảo hiểm tư vấn</t>
  </si>
  <si>
    <t>Chi phí di chuyển thiết bị thi công và lực lượng lao động đến công trường</t>
  </si>
  <si>
    <t>Chi phí đăng kiểm chất lượng quốc tế, quan trắc biến dạng công trình</t>
  </si>
  <si>
    <t>Chi phí đảm bảo an toàn giao thông phục vụ thi công các công trình</t>
  </si>
  <si>
    <t>Chi phí hoàn trả hạ tầng kỹ thuật bị ảnh hưởng khi thi công công trình</t>
  </si>
  <si>
    <t>Chi phí kiểm toán</t>
  </si>
  <si>
    <t>ĐMTL*TMĐT</t>
  </si>
  <si>
    <t>Chi phí nghiên cứu khoa học công nghệ liên quan đến dự án</t>
  </si>
  <si>
    <t>Vốn lưu động ban đầu (đối với các dự án đầu tư xây dựng nhằm mục đích kinh doanh)</t>
  </si>
  <si>
    <t>Lãi vay trong thời gian xây dựng</t>
  </si>
  <si>
    <t>Chi phí cho quá trình chạy thử không tải và có tải theo quy trình công nghệ</t>
  </si>
  <si>
    <t>Chi phí thẩm tra phê duyệt quyết toán vốn đầu tư</t>
  </si>
  <si>
    <t>Lệ phí cấp phép xây dựng</t>
  </si>
  <si>
    <t>Theo quy định</t>
  </si>
  <si>
    <t>LÀM TRÒN (GK)</t>
  </si>
  <si>
    <t>Ghi chú:</t>
  </si>
  <si>
    <t>Ví dụ:</t>
  </si>
  <si>
    <t>Nếu tính Chi phí lập dự án đầu tư xây dựng công trình thì xóa dòng Chi phí lập báo cáo kinh tế - kỹ thuật.</t>
  </si>
  <si>
    <t>BẢNG CHI PHÍ DỰ PHÒNG CHO YẾU TỐ TRƯỢT GIÁ</t>
  </si>
  <si>
    <t>Chi phí khác (GK):</t>
  </si>
  <si>
    <t>Tổng chi phí dự kiến thực hiện ở năm t (Vt)</t>
  </si>
  <si>
    <t>Kps =</t>
  </si>
  <si>
    <t>GDP1 =</t>
  </si>
  <si>
    <t>T: Độ dài thời gian thi công xây dựng công trình (năm);</t>
  </si>
  <si>
    <t>t: Số thứ tự năm phân bổ vốn thực hiện dự án (t=1÷T);</t>
  </si>
  <si>
    <t>Vt: Vốn đầu tư dự kiến thực hiện trong năm thứ t;</t>
  </si>
  <si>
    <t>BẢNG 1: PHÂN BỔ VỐN ĐẦU TƯ THEO TIẾN ĐỘ THỰC HIỆN</t>
  </si>
  <si>
    <t>Nội dung</t>
  </si>
  <si>
    <t>Tiến độ thực hiện (năm)</t>
  </si>
  <si>
    <t>Mức phân bổ vốn từng năm (%)</t>
  </si>
  <si>
    <t>Vốn phân bổ (tỷ đồng)</t>
  </si>
  <si>
    <t>BẢNG 2 TÍNH MỨC ĐỘ TRƯỢT GIÁ BÌNH QUÂN</t>
  </si>
  <si>
    <t>Chỉ tiêu</t>
  </si>
  <si>
    <t>Chỉ số giá xây dựng (theo công bố của Bộ Xây dựng)</t>
  </si>
  <si>
    <t>Hệ số trượt giá (chỉ số giá năm đó chia cho chỉ số giá năm liền trước)</t>
  </si>
  <si>
    <t>Mức độ trượt giá từng năm</t>
  </si>
  <si>
    <t>BẢNG 3: TÍNH CHI PHÍ DỰ PHÒNG CHO YẾU TỐ TRƯỢT GIÁ</t>
  </si>
  <si>
    <t>Chi phí thực hiện dự án theo tiến độ chưa có trượt giá (tỷ đồng)</t>
  </si>
  <si>
    <t>Chi phí thực hiện dự án theo tiến độ đã có trượt giá</t>
  </si>
  <si>
    <t>Trượt giá từng năm</t>
  </si>
  <si>
    <t>Tỷ lệ % dự phòng phí:</t>
  </si>
  <si>
    <t xml:space="preserve"> - Điều chỉnh lại công thức khi tiến độ thực hiện thi công xây dựng công trình khác đi.</t>
  </si>
  <si>
    <t xml:space="preserve"> - Kích chuột vào các ô bôi màu để xem hướng dẫn.</t>
  </si>
  <si>
    <t>BẢNG TÍNH NỘI SUY CÁC ĐỊNH MỨC TỶ LỆ</t>
  </si>
  <si>
    <t>Bảng số 1: Định mức chi phí quản lý dự án</t>
  </si>
  <si>
    <t xml:space="preserve">Chi phí XD trước thuế (GXDTT): </t>
  </si>
  <si>
    <t>Đơn vị tính: Tỷ lệ %</t>
  </si>
  <si>
    <t>Chi phí TB trước thuế (GTBTT):</t>
  </si>
  <si>
    <t>Loại công trình</t>
  </si>
  <si>
    <t>Chi phí xây dựng và thiết bị (chưa có thuế GTGT) (tỷ đồng)</t>
  </si>
  <si>
    <t>Loại công trình:</t>
  </si>
  <si>
    <t>Số bước thiết kế:</t>
  </si>
  <si>
    <t>Cấp công trình:</t>
  </si>
  <si>
    <t>Loại báo cáo:</t>
  </si>
  <si>
    <t>Công trình thuỷ lợi</t>
  </si>
  <si>
    <t>LOẠI CHI PHÍ</t>
  </si>
  <si>
    <t>Ga</t>
  </si>
  <si>
    <t>Gb</t>
  </si>
  <si>
    <t>Na</t>
  </si>
  <si>
    <t>Nb</t>
  </si>
  <si>
    <t>ĐMTL (%)</t>
  </si>
  <si>
    <t>I</t>
  </si>
  <si>
    <t>CHI PHÍ QUẢN LÝ DỰ ÁN (QĐ 957)</t>
  </si>
  <si>
    <t>Chi phí quản lý dự án</t>
  </si>
  <si>
    <t>Bảng số 2: Định mức chi phí lập dự án đầu tư</t>
  </si>
  <si>
    <t>II</t>
  </si>
  <si>
    <t>TỔNG HỢP DỰ TOÁN CHI PHÍ XÂY DỰNG CÁC HẠNG MỤC</t>
  </si>
  <si>
    <t>TỔNG HỢP DỰ TOÁN LẮP ĐẶT THIẾT BỊ CÁC HẠNG MỤC</t>
  </si>
  <si>
    <r>
      <t>G</t>
    </r>
    <r>
      <rPr>
        <vertAlign val="subscript"/>
        <sz val="12"/>
        <rFont val="Times New Roman"/>
        <family val="1"/>
      </rPr>
      <t>LD</t>
    </r>
  </si>
  <si>
    <t>Chi phí xây dựng và thiết bị (chưa có thuế GTGT) trong tổng mức đầu tư được duyệt (tỷ đồng)</t>
  </si>
  <si>
    <t>III</t>
  </si>
  <si>
    <t>DD</t>
  </si>
  <si>
    <t>CN</t>
  </si>
  <si>
    <t>GT</t>
  </si>
  <si>
    <t>TL</t>
  </si>
  <si>
    <t>HT</t>
  </si>
  <si>
    <t>Chi phí thẩm tra thiết kế</t>
  </si>
  <si>
    <t>Chi phí thẩm tra dự toán</t>
  </si>
  <si>
    <t>Chi phí lập HSMT, đánh giá HSDT thi công xây dựng</t>
  </si>
  <si>
    <t>Chi phí lập HSMT, đánh giá HSDT mua sắm thiết bị</t>
  </si>
  <si>
    <t>Bảng số 3: Định mức chi phí lập báo cáo kinh tế - kỹ thuật</t>
  </si>
  <si>
    <t>Chi phí xây dựng và thiết bị (chưa có thuế GTGT) trong dự toán của Báo cáo kinh tế - kỹ thuật được duyệt (tỷ đồng)</t>
  </si>
  <si>
    <t>IV</t>
  </si>
  <si>
    <t>V</t>
  </si>
  <si>
    <t>Lệ phí thẩm định thiết kế</t>
  </si>
  <si>
    <t>Lệ phí thẩm định dự toán</t>
  </si>
  <si>
    <t>Chi phí thẩm tra phê duyệt, quyết toán vốn</t>
  </si>
  <si>
    <t>3.3.10. Định mức chi phí thiết kế công trình dân dụng</t>
  </si>
  <si>
    <t>Bảng số 4: Định mức chi phí thiết kế kỹ thuật của công trình dân dụng có yêu cầu thiết kế 3 bước</t>
  </si>
  <si>
    <t>XDTT</t>
  </si>
  <si>
    <t>Cấp công trình</t>
  </si>
  <si>
    <t>Chi phí xây dựng (chưa có thuế GTGT) trong dự toán công trình được duyệt (tỷ đồng)</t>
  </si>
  <si>
    <t>TBTT</t>
  </si>
  <si>
    <t>Thiết kế 3 bước</t>
  </si>
  <si>
    <t>Cấp đặc biệt</t>
  </si>
  <si>
    <t>Thiết kế 2 bước</t>
  </si>
  <si>
    <t>Cấp I</t>
  </si>
  <si>
    <t>Cấp II</t>
  </si>
  <si>
    <t>Bước thiết kế</t>
  </si>
  <si>
    <t>Cấp III</t>
  </si>
  <si>
    <t>Cấp IV</t>
  </si>
  <si>
    <t>Lập dự án đầu tư</t>
  </si>
  <si>
    <t>Báo cáo kinh tế kỹ thuật</t>
  </si>
  <si>
    <t>Bảng số 5: Định mức chi phí thiết kế bản vẽ thi công của công trình dân dụng có yêu cầu thiết kế 2 bước</t>
  </si>
  <si>
    <t>3.3.11. Định mức chi phí thiết kế công trình công nghiệp</t>
  </si>
  <si>
    <t>Bảng số 6: Định mức chi phí thiết kế kỹ thuật của công trình công nghiệp có yêu cầu thiết kế 3 bước</t>
  </si>
  <si>
    <t>Bảng số 7: Định mức chi phí thiết kế bản vẽ thi công của công trình công nghiệp có yêu cầu thiết kế 2 bước</t>
  </si>
  <si>
    <t>3.3.12. Định mức chi phí thiết kế công trình giao thông</t>
  </si>
  <si>
    <t>Bảng số 8: Định mức chi phí thiết kế kỹ thuật của công trình giao thông có yêu cầu thiết kế 3 bước</t>
  </si>
  <si>
    <t>Bảng số 9: Định mức chi phí thiết kế bản vẽ thi công của công trình giao thông có yêu cầu thiết kế 2 bước</t>
  </si>
  <si>
    <t>3.3.13. Định mức chi phí thiết kế công trình thủy lợi</t>
  </si>
  <si>
    <t>Bảng số 10: Định mức chi phí thiết kế kỹ thuật của công trình thuỷ lợi có yêu cầu thiết kế 3 bước</t>
  </si>
  <si>
    <t>Bảng số 11: Định mức chi phí thiết kế bản vẽ thi công của công trình thuỷ lợi có yêu cầu thiết kế 2 bước</t>
  </si>
  <si>
    <t>3.3.14. Định mức chi phí thiết kế công trình hạ tầng kỹ thuật</t>
  </si>
  <si>
    <t>Bảng số 12: Định mức chi phí thiết kế kỹ thuật của công trình hạ tầng kỹ thuật có yêu cầu thiết kế 3 bước</t>
  </si>
  <si>
    <t>Bảng số 13: Định mức chi phí thiết kế bản vẽ thi công của công trình hạ tầng kỹ thuật có yêu cầu thiết kế 2 bước</t>
  </si>
  <si>
    <t>Bảng số 14: Định mức chi phí thẩm tra tính hiệu quả và tính khả thi của dự án đầu tư</t>
  </si>
  <si>
    <t>Công trình hạ tầng</t>
  </si>
  <si>
    <t>Bảng số 15: Định mức chi phí thẩm tra thiết kế kỹ thuật đối với công trình có yêu cầu thiết kế 3 bước; thẩm tra thiết kế bản vẽ thi công</t>
  </si>
  <si>
    <t>đối với công trình có yêu cầu thiết kế 1 bước và 2 bước</t>
  </si>
  <si>
    <t>Chi phí xây dựng (chưa có thuế GTGT) trong dự toán công trình hoặc</t>
  </si>
  <si>
    <t>dự toán gói thầu được duyệt (tỷ đồng)</t>
  </si>
  <si>
    <t>Công trình hạ tầng kỹ</t>
  </si>
  <si>
    <t>Bảng số 16: Định mức chi phí thẩm tra dự toán công trình</t>
  </si>
  <si>
    <t>Bảng số 17: Định mức chi phí lập hồ sơ mời thầu, đánh giá hồ sơ dự thầu thi công xây dựng</t>
  </si>
  <si>
    <t>Chi phí xây dựng (chưa có thuế GTGT) trong dự toán gói thầu được duyệt (tỷ đồng)</t>
  </si>
  <si>
    <t>Bảng số 18: Định mức chi phí lập hồ sơ mời thầu, đánh giá hồ sơ dự thầu mua sắm thiết bị</t>
  </si>
  <si>
    <t>Chi phí thiết bị (chưa có thuế GTGT) trong dự toán gói thầu được duyệt (tỷ đồng)</t>
  </si>
  <si>
    <t>Bảng số 19: Định mức chi phí giám sát thi công xây dựng</t>
  </si>
  <si>
    <t>Bảng số 20: Định mức chi phí giám sát lắp đặt thiết bị</t>
  </si>
  <si>
    <t>Chi phí kiểm toán, thẩm tra phê duyệt quyết toán (Thông tư 33/2007 - Đính chính 2173/QĐ-BTC)</t>
  </si>
  <si>
    <t>Loại chi phí</t>
  </si>
  <si>
    <t>Tổng mức đầu tư (tỷ đồng)</t>
  </si>
  <si>
    <t>Chi phí thẩm tra, phê duyệt quyết toán vốn</t>
  </si>
  <si>
    <t>Biểu mức thu lệ phí thẩm định đầu tư (109/2000/TT-BTC ngày 13/11/2000 của Bộ Tài Chính)</t>
  </si>
  <si>
    <t>Nhóm</t>
  </si>
  <si>
    <t>Lệ phí thẩm định</t>
  </si>
  <si>
    <t>Giá trị công trình (ĐV tỷ đồng và không bao gồm thuế GTGT)</t>
  </si>
  <si>
    <t>DA</t>
  </si>
  <si>
    <t>Tổng mức đầu tư phê duyệt</t>
  </si>
  <si>
    <t>Dự án đầu tư nhóm I</t>
  </si>
  <si>
    <t>Dự án đầu tư nhóm II</t>
  </si>
  <si>
    <t>Dự án đầu tư nhóm III</t>
  </si>
  <si>
    <t>Dự án đầu tư nhóm IV</t>
  </si>
  <si>
    <t>Dự án đầu tư nhóm V</t>
  </si>
  <si>
    <t>Dự toán giá trị xây lắp</t>
  </si>
  <si>
    <t>Thiết kế kỹ thuật nhóm I</t>
  </si>
  <si>
    <t>Thiết kế kỹ thuật nhóm II</t>
  </si>
  <si>
    <t>Thiết kế kỹ thuật nhóm III</t>
  </si>
  <si>
    <t>Thiết kế kỹ thuật nhóm IV</t>
  </si>
  <si>
    <t>Thiết kế kỹ thuật nhóm V</t>
  </si>
  <si>
    <t>Tổng dự toán nhóm I</t>
  </si>
  <si>
    <t>Tổng dự toán nhóm II</t>
  </si>
  <si>
    <t>Tổng dự toán nhóm III</t>
  </si>
  <si>
    <t>Tổng dự toán nhóm IV</t>
  </si>
  <si>
    <t>BẢNG TỔNG HỢP DỰ TOÁN CHI PHÍ XÂY DỰNG</t>
  </si>
  <si>
    <t>KHOẢN MỤC CHI PHÍ</t>
  </si>
  <si>
    <t>GIÁ TRỊ</t>
  </si>
  <si>
    <t>KÝ HIỆU</t>
  </si>
  <si>
    <t>CHI PHÍ THEO ĐƠN GIÁ</t>
  </si>
  <si>
    <t>Chi phí vật liệu</t>
  </si>
  <si>
    <t>A</t>
  </si>
  <si>
    <t>Chênh lệch vật liệu</t>
  </si>
  <si>
    <t>Chi phí nhân công</t>
  </si>
  <si>
    <t>Chi phí máy xây dựng</t>
  </si>
  <si>
    <t>C</t>
  </si>
  <si>
    <t>Chênh lệch máy xây dựng</t>
  </si>
  <si>
    <t>CLM</t>
  </si>
  <si>
    <t>CHI PHÍ TRỰC TIẾP</t>
  </si>
  <si>
    <t>VL</t>
  </si>
  <si>
    <t>NC</t>
  </si>
  <si>
    <t>Chi phí máy thi công</t>
  </si>
  <si>
    <t>M</t>
  </si>
  <si>
    <t>Chi phí trực tiếp khác</t>
  </si>
  <si>
    <t>Chi phí trực tiếp</t>
  </si>
  <si>
    <t>VL+NC+M+TT</t>
  </si>
  <si>
    <t>T</t>
  </si>
  <si>
    <t>CHI PHÍ CHUNG</t>
  </si>
  <si>
    <t>THU NHẬP CHỊU THUẾ TÍNH TRƯỚC</t>
  </si>
  <si>
    <t>Chi phí xây dựng trước thuế</t>
  </si>
  <si>
    <t>T+C+TL</t>
  </si>
  <si>
    <t>G</t>
  </si>
  <si>
    <t>THUẾ GIÁ TRỊ GIA TĂNG</t>
  </si>
  <si>
    <t>GTGT</t>
  </si>
  <si>
    <t>Chi phí xây dựng sau thuế</t>
  </si>
  <si>
    <t>G + GTGT</t>
  </si>
  <si>
    <t>CHI PHÍ XÂY DỰNG NHÀ TẠM TẠI HIỆN TRƯỜNG ĐỂ Ở VÀ ĐIỀU HÀNH THI CÔNG</t>
  </si>
  <si>
    <t>TỔNG CỘNG</t>
  </si>
  <si>
    <t>LÀM TRÒN</t>
  </si>
  <si>
    <t>BẢNG DỰ TOÁN CHI PHÍ XÂY DỰNG</t>
  </si>
  <si>
    <t>MÃ HIỆU</t>
  </si>
  <si>
    <t>NỘI DUNG CÔNG VIỆC</t>
  </si>
  <si>
    <t>ĐƠN VỊ</t>
  </si>
  <si>
    <t>ĐƠN GIÁ</t>
  </si>
  <si>
    <t>THÀNH TIỀN</t>
  </si>
  <si>
    <t>SỐ BỘ PHẬN GIỐNG NHAU</t>
  </si>
  <si>
    <t>KÍCH THƯỚC</t>
  </si>
  <si>
    <t>HỆ SỐ</t>
  </si>
  <si>
    <t>K.L MỘT BỘ PHẬN</t>
  </si>
  <si>
    <t>K.L TOÀN BỘ</t>
  </si>
  <si>
    <t>GHI CHÚ</t>
  </si>
  <si>
    <t>ĐỊNH MỨC</t>
  </si>
  <si>
    <t>VẬT LIỆU</t>
  </si>
  <si>
    <t>VẬT LIỆU P</t>
  </si>
  <si>
    <t>NHÂN CÔNG</t>
  </si>
  <si>
    <t>MÁY</t>
  </si>
  <si>
    <t>DÀI</t>
  </si>
  <si>
    <t>RỘNG</t>
  </si>
  <si>
    <t>CAO (SÂU)</t>
  </si>
  <si>
    <t>Người thực hiện đo bóc khối lượng</t>
  </si>
  <si>
    <t>Người kiểm tra đo bóc khối lượng</t>
  </si>
  <si>
    <t>(ký tên)</t>
  </si>
  <si>
    <t>Chứng chỉ KS định giá XD hạng ..., số …</t>
  </si>
  <si>
    <t>Thủ trưởng đơn vị thực hiện đo bóc khối lượng</t>
  </si>
  <si>
    <t>(ký tên và đóng dấu)</t>
  </si>
  <si>
    <t>MSVT</t>
  </si>
  <si>
    <t>KHỐI LƯỢNG</t>
  </si>
  <si>
    <t>HAO PHÍ</t>
  </si>
  <si>
    <t>TÊN VẬT TƯ</t>
  </si>
  <si>
    <t>CHÊNH LỆCH</t>
  </si>
  <si>
    <t>BẢNG PHÂN TÍCH ĐƠN GIÁ CHI TIẾT</t>
  </si>
  <si>
    <t>LOẠI VẬT LIỆU</t>
  </si>
  <si>
    <t>TRỌNG LƯỢNG ĐƠN VỊ</t>
  </si>
  <si>
    <t>LOẠI ĐƯỜNG</t>
  </si>
  <si>
    <t>CỰ LY (Km)</t>
  </si>
  <si>
    <t>GIÁ CƯỚC</t>
  </si>
  <si>
    <t>HỆ SỐ BẬC HÀNG</t>
  </si>
  <si>
    <t>HỆ SỐ ĐỔ BEN</t>
  </si>
  <si>
    <t>CHI PHÍ VẬN CHUYỂN</t>
  </si>
  <si>
    <t>CHI PHÍ TRUNG CHUYỂN</t>
  </si>
  <si>
    <t>CHI PHÍ BỐC XẾP</t>
  </si>
  <si>
    <t>GIÁ GỐC
(GIÁ MUA)</t>
  </si>
  <si>
    <t>GIÁ ĐẾN HIỆN TRƯỜNG</t>
  </si>
  <si>
    <t>NGUỒN MUA</t>
  </si>
  <si>
    <t>Bốc xếp</t>
  </si>
  <si>
    <t>VC bộ khởi điểm</t>
  </si>
  <si>
    <t>VC bộ 10m tiếp theo</t>
  </si>
  <si>
    <t>VC phương tiện thô sơ kđiểm</t>
  </si>
  <si>
    <t>VC phương tiện thô sơ 10m tiếp</t>
  </si>
  <si>
    <t>Cộng chi phí  trung chuyển</t>
  </si>
  <si>
    <t>MÃ VỮA</t>
  </si>
  <si>
    <t>ĐƠN VỊ TÍNH</t>
  </si>
  <si>
    <t xml:space="preserve"> - Mức lương tối thiểu chung (LTTC):</t>
  </si>
  <si>
    <t>đồng/tháng</t>
  </si>
  <si>
    <t xml:space="preserve"> - Mức lương tối thiểu vùng (LTTV):</t>
  </si>
  <si>
    <t xml:space="preserve"> - Các khoản phụ cấp theo LTT:</t>
  </si>
  <si>
    <t>Tổng các phụ cấp theo LTT</t>
  </si>
  <si>
    <t>CẤP BẬC</t>
  </si>
  <si>
    <t>HỆ SỐ LƯƠNG (HSL)</t>
  </si>
  <si>
    <t>LƯƠNG CẤP BẬC (LCB=
HSLxLTTV) (đ/tháng)</t>
  </si>
  <si>
    <t>TỔNG CÁC KHOẢN PHỤ CẤP THEO LTT</t>
  </si>
  <si>
    <t>PHỤ CẤP THEO LƯƠNG CẤP BẬC (LCB)</t>
  </si>
  <si>
    <t>TỔNG L+PC (đ/công)</t>
  </si>
  <si>
    <t>Lưu động</t>
  </si>
  <si>
    <t>Lương phụ</t>
  </si>
  <si>
    <t>Khoán trực tiếp</t>
  </si>
  <si>
    <t>Không ổn định sản xuất</t>
  </si>
  <si>
    <t>Thu hút</t>
  </si>
  <si>
    <t>Đặc biệt</t>
  </si>
  <si>
    <t>Ca đêm</t>
  </si>
  <si>
    <t>Nhóm I</t>
  </si>
  <si>
    <t>N1207</t>
  </si>
  <si>
    <t>N1257</t>
  </si>
  <si>
    <t>N1277</t>
  </si>
  <si>
    <t>N1307</t>
  </si>
  <si>
    <t>N1327</t>
  </si>
  <si>
    <t>N1337</t>
  </si>
  <si>
    <t>N1357</t>
  </si>
  <si>
    <t>N1377</t>
  </si>
  <si>
    <t>N1407</t>
  </si>
  <si>
    <t>N1437</t>
  </si>
  <si>
    <t>N1457</t>
  </si>
  <si>
    <t>N1477</t>
  </si>
  <si>
    <t>N1507</t>
  </si>
  <si>
    <t>N1527</t>
  </si>
  <si>
    <t>N1557</t>
  </si>
  <si>
    <t>N1607</t>
  </si>
  <si>
    <t>N1707</t>
  </si>
  <si>
    <t>Nhóm II</t>
  </si>
  <si>
    <t>N2207</t>
  </si>
  <si>
    <t>N2257</t>
  </si>
  <si>
    <t>N2277</t>
  </si>
  <si>
    <t>N2307</t>
  </si>
  <si>
    <t>N2327</t>
  </si>
  <si>
    <t>N2357</t>
  </si>
  <si>
    <t>N2377</t>
  </si>
  <si>
    <t>N2407</t>
  </si>
  <si>
    <t>N2427</t>
  </si>
  <si>
    <t>N2457</t>
  </si>
  <si>
    <t>N2477</t>
  </si>
  <si>
    <t>N2507</t>
  </si>
  <si>
    <t>N2527</t>
  </si>
  <si>
    <t>N2557</t>
  </si>
  <si>
    <t>N2607</t>
  </si>
  <si>
    <t>N2707</t>
  </si>
  <si>
    <t>Nhóm III</t>
  </si>
  <si>
    <t>N3207</t>
  </si>
  <si>
    <t>N3257</t>
  </si>
  <si>
    <t>N3277</t>
  </si>
  <si>
    <t>N3307</t>
  </si>
  <si>
    <t>N3327</t>
  </si>
  <si>
    <t>N3357</t>
  </si>
  <si>
    <t>N3377</t>
  </si>
  <si>
    <t>N3407</t>
  </si>
  <si>
    <t>N3427</t>
  </si>
  <si>
    <t>N3437</t>
  </si>
  <si>
    <t>N3457</t>
  </si>
  <si>
    <t>N3477</t>
  </si>
  <si>
    <t>N3507</t>
  </si>
  <si>
    <t>N3527</t>
  </si>
  <si>
    <t>N3557</t>
  </si>
  <si>
    <t>N3607</t>
  </si>
  <si>
    <t>N3707</t>
  </si>
  <si>
    <t>II. BẢNG LƯƠNG THỢ LẶN</t>
  </si>
  <si>
    <t>1. Thợ lặn</t>
  </si>
  <si>
    <t>2. Thợ lặn cấp I</t>
  </si>
  <si>
    <t xml:space="preserve"> </t>
  </si>
  <si>
    <t>3. Thợ lặn cấp III</t>
  </si>
  <si>
    <t>B.12. BẢNG LƯƠNG CÔNG NHÂN LÁI XE</t>
  </si>
  <si>
    <t>1. Xe con, xe tắc xi, xe tải, xe cẩu dưới 3,5 tấn, xe khách dưới 20 ghế</t>
  </si>
  <si>
    <t>2. Xe tải, xe cẩu từ 3,5 tấn đến dưới 7,5 tấn, xe khách từ 20 ghế đến dưới 40 ghế</t>
  </si>
  <si>
    <t>3. Xe tải, xe cẩu từ 7,5 tấn đến dưới 16,5 tấn, xe khách từ 40 ghế đến dưới 60 ghế</t>
  </si>
  <si>
    <t>4. Xe tải, xe cẩu từ 16,5 tấn đến dưới 25 tấn, xe khách từ 60 ghế đến dưới 80 ghế</t>
  </si>
  <si>
    <t>5. Xe tải, xe cẩu từ 25 tấn đến dưới 40 tấn, xe khách từ 80 ghế trở lên</t>
  </si>
  <si>
    <t>6. Xe tải, xe cẩu từ 40 tấn trở lên</t>
  </si>
  <si>
    <t>B.2. BẢNG LƯƠNG THUYỀN VIÊN VÀ CÔNG NHÂN VIÊN TÀU VẬN TẢI BIỂN, VẬN TẢI SÔNG, TÀU DỊCH VỤ DẦU KHÍ, TÀU CẨU DẦU KHÍ</t>
  </si>
  <si>
    <t>B.2.I. TÀU VẬN TẢI BIỂN, VẬN TẢI SÔNG</t>
  </si>
  <si>
    <t>CHỨC DANH KHÔNG THEO NHÓM TÀU</t>
  </si>
  <si>
    <t>I/ Tàu vận tải biển</t>
  </si>
  <si>
    <t>1. Thuỷ thủ</t>
  </si>
  <si>
    <t>2. Thợ máy kiêm cơ khí, thợ bơm</t>
  </si>
  <si>
    <t>3. Thợ máy, điện, vô tuyến điện</t>
  </si>
  <si>
    <t>4. Phục vụ viên</t>
  </si>
  <si>
    <t>5. Cấp dưỡng</t>
  </si>
  <si>
    <t>II/ Tàu vận tải sông và sang ngang</t>
  </si>
  <si>
    <t>Nhóm I (vận tải dọc sông)</t>
  </si>
  <si>
    <t>Nhóm II (vận tải sang ngang)</t>
  </si>
  <si>
    <t>2. Thợ máy, thợ điện</t>
  </si>
  <si>
    <t>3. Phục vụ viên</t>
  </si>
  <si>
    <t xml:space="preserve"> - Kiểm soát viên từ phao số 0 vào cảng toàn tuyến xếp như Kiểm soát viên không lưu cấp III.</t>
  </si>
  <si>
    <t xml:space="preserve"> - Kiểm soát viên quản lý vận hành luồng tàu xếp như Kiểm soát viên không lưu cấp II.</t>
  </si>
  <si>
    <t xml:space="preserve"> - Kiểm soát viên quản lý vận hành khu vực luồng tàu xếp như Kiểm soát viên không lưu cấp I.</t>
  </si>
  <si>
    <t>B.2. BẢNG LƯƠNG THUYỀN VIÊN VÀ CÔNG NHÂN VIÊN TÀU VẬN TẢI BIỂN, VẬN TẢI SÔNG, TÀU DỊCH VỤ DẦU KHÍ, TÀU CẨU DẦU KHÍ (TIẾP THEO)</t>
  </si>
  <si>
    <t>B.2.I.3. Tàu vận tải sông theo nhóm tàu</t>
  </si>
  <si>
    <t>CHỨC DANH THEO NHÓM TÀU</t>
  </si>
  <si>
    <t>1. Thuyền trưởng</t>
  </si>
  <si>
    <t>Nhóm IV</t>
  </si>
  <si>
    <t>2. Đại phó, máy trưởng</t>
  </si>
  <si>
    <t>3. Thuyền phó 2, máy 2</t>
  </si>
  <si>
    <t>đến 15 mã lực hoặc sức chở từ 5 người đến 12 người.</t>
  </si>
  <si>
    <t>toàn phần trên 150 tấn đến 500 tấn; đoàn lai có trọng tải toàn phần trên 400 tấn đến đồng tấn; phương tiện</t>
  </si>
  <si>
    <t>B.5. BẢNG LƯƠNG THUYỀN VIÊN VÀ CÔNG NHÂN VIÊN TÀU CÔNG TRÌNH, TÀU TRỤC VỚT VÀ CỨU HỘ, TÀU THAY THẢ PHAO, TÀU TÌM KIẾM CỨU NẠN</t>
  </si>
  <si>
    <t>HÀNG HẢI (TIẾP THEO)</t>
  </si>
  <si>
    <t>B.5.I. TÀU CÔNG TRÌNH</t>
  </si>
  <si>
    <t>2/ Tàu nạo vét sông</t>
  </si>
  <si>
    <t>Tàu hút dưới 150m3/h</t>
  </si>
  <si>
    <t>Tàu hút từ 150m3/h đến 300m3/h</t>
  </si>
  <si>
    <t>Tàu hút trên 300m3/h, tàu cuốc dưới 300m3/h</t>
  </si>
  <si>
    <t>2. Máy trưởng</t>
  </si>
  <si>
    <t>3. Điện trưởng</t>
  </si>
  <si>
    <t>Tàu hút trên 300m3/h. Tàu cuốc dưới 300m3/h</t>
  </si>
  <si>
    <t>4. Máy 2, kỹ thuật viên cuốc 1</t>
  </si>
  <si>
    <t>5. Máy 3, kỹ thuật viên cuốc 2</t>
  </si>
  <si>
    <t>6. Máy 4, kỹ thuật viên cuốc 3</t>
  </si>
  <si>
    <t>7. Quản trị trưởng, thuỷ thủ trưởng</t>
  </si>
  <si>
    <t>1. Thợ máy, điện, điện báo</t>
  </si>
  <si>
    <t>2. Thuỷ thủ</t>
  </si>
  <si>
    <t>4. Cấp dưỡng</t>
  </si>
  <si>
    <t>I/ Tàu công trình</t>
  </si>
  <si>
    <t>1. Thuyền trưởng tàu hút bụng</t>
  </si>
  <si>
    <t>Tàu hút. tàu cuốc từ 300m3/h đến dưới 800m3/h</t>
  </si>
  <si>
    <t>Tàu hút. tàu cuốc từ 800m3/h trở lên</t>
  </si>
  <si>
    <t>2. Máy trưởng, thuyền trưởng tàu cuốc, tàu hút phun, tàu NV bằng gầu ngoạm</t>
  </si>
  <si>
    <t>3. Điện trưởng, đại phó tàu cuốc; kỹ thuật viên cuốc 1, tàu hút bụng; thuyền phó 2, máy 3 tàu hút bụng; máy 3, kỹ thuật viên</t>
  </si>
  <si>
    <t>cuốc 2 tàu cuốc, tàu hút phun, tàu nạo vét bằng gầu ngoạm</t>
  </si>
  <si>
    <t>4. Đại phó, máy 2 tàu hút bụng; máy 2, kỹ thuật viên cuốc 1 tàu cuốc, tàu hút phun, tàu NV bằng gầu ngoạm</t>
  </si>
  <si>
    <t>6. Thuyền phó 3 tàu cuốc, tàu hút phun, tàu NV bằng gầu ngoạm, kỹ thuật viên cuốc 3 tàu hút bụng</t>
  </si>
  <si>
    <t>1. Thợ máy kiêm cơ khí</t>
  </si>
  <si>
    <t>2. Thợ máy, điện, điện báo</t>
  </si>
  <si>
    <t>3. Thuỷ thủ, thợ cuốc</t>
  </si>
  <si>
    <t>BẢNG BẢNG LƯƠNG KỸ SƯ, CHUYÊN VIÊN, KINH TẾ VIÊN</t>
  </si>
  <si>
    <t>N28108</t>
  </si>
  <si>
    <t>N28208</t>
  </si>
  <si>
    <t>N28308</t>
  </si>
  <si>
    <t>N28408</t>
  </si>
  <si>
    <t>N28458</t>
  </si>
  <si>
    <t>N28508</t>
  </si>
  <si>
    <t>N28608</t>
  </si>
  <si>
    <t>N28708</t>
  </si>
  <si>
    <t>N28808</t>
  </si>
  <si>
    <t>PLV XD</t>
  </si>
  <si>
    <t>NC XD</t>
  </si>
  <si>
    <t>GCM XD</t>
  </si>
  <si>
    <t>DTDT XD</t>
  </si>
  <si>
    <t>Bảng tổng hợp và tính chênh lệch vật tư lắp đặt thiết bị</t>
  </si>
  <si>
    <t>Bảng phân tích đơn giá chi tiết lắp đặt thiết bị</t>
  </si>
  <si>
    <t>Bảng dự toán dự thầu lắp đặt thiết bị</t>
  </si>
  <si>
    <t>VLHT TB</t>
  </si>
  <si>
    <t>PLV TB</t>
  </si>
  <si>
    <t>NC TB</t>
  </si>
  <si>
    <t>GCM TB</t>
  </si>
  <si>
    <t>Bảng tính giá vật liệu đến hiện trường lắp đặt thiết bị</t>
  </si>
  <si>
    <t>Bảng phụ lục vữa lắp đặt thiết bị</t>
  </si>
  <si>
    <t>Bảng lương nhân công lắp đặt thiết bị</t>
  </si>
  <si>
    <t>Bảng giá ca máy và thiết bị thi công lắp đặt thiết bị</t>
  </si>
  <si>
    <t>Bảng giá ca máy và thiết bị thi công xây dựng</t>
  </si>
  <si>
    <t>Bảng dự toán dự thầu thi công xây dựng</t>
  </si>
  <si>
    <t>Bảng tổng hợp và tính chênh lệch vật tư xây dựng</t>
  </si>
  <si>
    <t>Bảng phụ lục vữa thi công xây dựng</t>
  </si>
  <si>
    <t>Bảng giá trị vật tư thi công xây dựng</t>
  </si>
  <si>
    <t>Bảng giá trị vật tư lắp đặt thiết bị</t>
  </si>
  <si>
    <t>Khấu hao</t>
  </si>
  <si>
    <t>Hệ số thu hồi khi thanh lý</t>
  </si>
  <si>
    <t>Sửa chữa</t>
  </si>
  <si>
    <t>Chi phí khác</t>
  </si>
  <si>
    <t>GIÁ CA MÁY GỐC</t>
  </si>
  <si>
    <t>CP khấu hao</t>
  </si>
  <si>
    <t>CP sửa chữa</t>
  </si>
  <si>
    <t>CP khác</t>
  </si>
  <si>
    <t>BẢNG TỔNG HỢP VẬT TƯ VẬN CHUYỂN LÊN CAO</t>
  </si>
  <si>
    <t>HAO PHÍ NC</t>
  </si>
  <si>
    <t>TIẾN ĐỘ THI CÔNG</t>
  </si>
  <si>
    <t>T1</t>
  </si>
  <si>
    <t>T2</t>
  </si>
  <si>
    <t>T3</t>
  </si>
  <si>
    <t>T4</t>
  </si>
  <si>
    <t>T5</t>
  </si>
  <si>
    <t>BẢNG TỔNG HỢP DỰ TOÁN CHI PHÍ THIẾT BỊ</t>
  </si>
  <si>
    <t>TÊN THIẾT BỊ HAY NHÓM THIẾT BỊ</t>
  </si>
  <si>
    <t>Chi phí mua sắm thiết bị (Gmstb)</t>
  </si>
  <si>
    <t>Chi phí đào tạo và chuyển giao công nghệ (Gdtcg)</t>
  </si>
  <si>
    <t>Chi phí lắp đặt thiết bị và thí nghiệm, hiệu chỉnh (Gld)</t>
  </si>
  <si>
    <t>(3.1)+(3.2)</t>
  </si>
  <si>
    <t>3.1</t>
  </si>
  <si>
    <t>Chi phí lắp đặt thiết bị và thí nghiệm, hiệu chỉnh</t>
  </si>
  <si>
    <t>3.2</t>
  </si>
  <si>
    <t>(1)+(2)+(3)</t>
  </si>
  <si>
    <t>LÀM TRÒN (GTB)</t>
  </si>
  <si>
    <t>BẢNG DỰ TOÁN CHI PHÍ MUA SẮM THIẾT BỊ</t>
  </si>
  <si>
    <t>ĐƠN GIÁ
TRƯỚC THUẾ</t>
  </si>
  <si>
    <t>THÀNH TIỀN
TRƯỚC THUẾ</t>
  </si>
  <si>
    <t>THÀNH TIỀN
SAU THUẾ</t>
  </si>
  <si>
    <t>THUẾ SUẤT</t>
  </si>
  <si>
    <t>GHI CHÚ NGUỒN MUA, BÁO GIÁ</t>
  </si>
  <si>
    <t>Thiết bị 1</t>
  </si>
  <si>
    <t>Thiết bị 2</t>
  </si>
  <si>
    <t>Thiết bị 3</t>
  </si>
  <si>
    <t>…</t>
  </si>
  <si>
    <t>n</t>
  </si>
  <si>
    <t>Thiết bị n</t>
  </si>
  <si>
    <t>Cộng chi phí mua sắm thiết bị (Gmstb)</t>
  </si>
  <si>
    <t>BẢNG TỔNG HỢP CHI PHÍ ĐÀO TẠO CHUYỂN GIAO CÔNG NGHỆ</t>
  </si>
  <si>
    <t>ĐVT</t>
  </si>
  <si>
    <t>Chi phí đi lại</t>
  </si>
  <si>
    <t xml:space="preserve"> - Taxi</t>
  </si>
  <si>
    <t xml:space="preserve"> - Máy bay</t>
  </si>
  <si>
    <t xml:space="preserve"> - Tàu</t>
  </si>
  <si>
    <t>Chi phí ăn, ở</t>
  </si>
  <si>
    <t>Chi phí đào tạo</t>
  </si>
  <si>
    <t>Chi phí tài liệu học tập</t>
  </si>
  <si>
    <t>Chi phí chuyên gia giảng dạy</t>
  </si>
  <si>
    <t>...</t>
  </si>
  <si>
    <t>Chi phí chung, chi phí quản lý</t>
  </si>
  <si>
    <t>Chi phí dự phòng</t>
  </si>
  <si>
    <t>Tổng cộng [I + II + ... + III]:</t>
  </si>
  <si>
    <t>LÀM TRÒN (Gdtcg):</t>
  </si>
  <si>
    <t>BẢNG TỔNG HỢP DỰ TOÁN CHI PHÍ LẮP ĐẶT THIẾT BỊ</t>
  </si>
  <si>
    <t>Chi phí lắp đặt thiết bị trước thuế</t>
  </si>
  <si>
    <t>Chi phí lắp đặt thiết bị sau thuế</t>
  </si>
  <si>
    <t>BẢNG DỰ TOÁN CHI PHÍ LẮP ĐẶT THIẾT BỊ</t>
  </si>
  <si>
    <t>K.L TOÀN BỘ PHẬN</t>
  </si>
  <si>
    <t>CAO (sâu)</t>
  </si>
  <si>
    <r>
      <t>G</t>
    </r>
    <r>
      <rPr>
        <vertAlign val="subscript"/>
        <sz val="10"/>
        <rFont val="Times New Roman"/>
        <family val="1"/>
        <charset val="163"/>
      </rPr>
      <t>DP1</t>
    </r>
    <r>
      <rPr>
        <sz val="10"/>
        <rFont val="Times New Roman"/>
        <family val="1"/>
      </rPr>
      <t xml:space="preserve"> + G</t>
    </r>
    <r>
      <rPr>
        <vertAlign val="subscript"/>
        <sz val="10"/>
        <rFont val="Times New Roman"/>
        <family val="1"/>
        <charset val="163"/>
      </rPr>
      <t>DP2</t>
    </r>
  </si>
  <si>
    <r>
      <t>ĐMTL*G</t>
    </r>
    <r>
      <rPr>
        <vertAlign val="subscript"/>
        <sz val="12"/>
        <rFont val="Times New Roman"/>
        <family val="1"/>
        <charset val="163"/>
      </rPr>
      <t>XD</t>
    </r>
  </si>
  <si>
    <r>
      <t>ĐMTL*G</t>
    </r>
    <r>
      <rPr>
        <vertAlign val="subscript"/>
        <sz val="12"/>
        <rFont val="Times New Roman"/>
        <family val="1"/>
        <charset val="163"/>
      </rPr>
      <t>TB</t>
    </r>
  </si>
  <si>
    <r>
      <t>LÀM TRÒN (G</t>
    </r>
    <r>
      <rPr>
        <b/>
        <vertAlign val="subscript"/>
        <sz val="10"/>
        <color indexed="9"/>
        <rFont val="Arial"/>
        <family val="2"/>
        <charset val="163"/>
      </rPr>
      <t>TV</t>
    </r>
    <r>
      <rPr>
        <b/>
        <sz val="10"/>
        <color indexed="9"/>
        <rFont val="Arial"/>
        <family val="2"/>
        <charset val="163"/>
      </rPr>
      <t>)</t>
    </r>
  </si>
  <si>
    <r>
      <t>Chi phí xây dựng (G</t>
    </r>
    <r>
      <rPr>
        <b/>
        <vertAlign val="subscript"/>
        <sz val="12"/>
        <rFont val="Times New Roman"/>
        <family val="1"/>
        <charset val="163"/>
      </rPr>
      <t>XD</t>
    </r>
    <r>
      <rPr>
        <b/>
        <sz val="12"/>
        <rFont val="Times New Roman"/>
        <family val="1"/>
      </rPr>
      <t>)</t>
    </r>
  </si>
  <si>
    <r>
      <t>Chi phí thiết bị (G</t>
    </r>
    <r>
      <rPr>
        <b/>
        <vertAlign val="subscript"/>
        <sz val="12"/>
        <rFont val="Times New Roman"/>
        <family val="1"/>
        <charset val="163"/>
      </rPr>
      <t>TB</t>
    </r>
    <r>
      <rPr>
        <b/>
        <sz val="12"/>
        <rFont val="Times New Roman"/>
        <family val="1"/>
      </rPr>
      <t>)</t>
    </r>
  </si>
  <si>
    <r>
      <t>Chi phí quản lý dự án (G</t>
    </r>
    <r>
      <rPr>
        <b/>
        <vertAlign val="subscript"/>
        <sz val="12"/>
        <rFont val="Times New Roman"/>
        <family val="1"/>
        <charset val="163"/>
      </rPr>
      <t>QLDA</t>
    </r>
    <r>
      <rPr>
        <b/>
        <sz val="12"/>
        <rFont val="Times New Roman"/>
        <family val="1"/>
      </rPr>
      <t>)</t>
    </r>
  </si>
  <si>
    <r>
      <t>Chi phí tư vấn đầu tư xây dựng (G</t>
    </r>
    <r>
      <rPr>
        <b/>
        <vertAlign val="subscript"/>
        <sz val="12"/>
        <rFont val="Times New Roman"/>
        <family val="1"/>
        <charset val="163"/>
      </rPr>
      <t>TV</t>
    </r>
    <r>
      <rPr>
        <b/>
        <sz val="12"/>
        <rFont val="Times New Roman"/>
        <family val="1"/>
      </rPr>
      <t>)</t>
    </r>
  </si>
  <si>
    <r>
      <t>Chi phí khác (G</t>
    </r>
    <r>
      <rPr>
        <b/>
        <vertAlign val="subscript"/>
        <sz val="12"/>
        <rFont val="Times New Roman"/>
        <family val="1"/>
        <charset val="163"/>
      </rPr>
      <t>K</t>
    </r>
    <r>
      <rPr>
        <b/>
        <sz val="12"/>
        <rFont val="Times New Roman"/>
        <family val="1"/>
      </rPr>
      <t>)</t>
    </r>
  </si>
  <si>
    <r>
      <t>Chi phí dự phòng (G</t>
    </r>
    <r>
      <rPr>
        <b/>
        <vertAlign val="subscript"/>
        <sz val="12"/>
        <rFont val="Times New Roman"/>
        <family val="1"/>
        <charset val="163"/>
      </rPr>
      <t>DP</t>
    </r>
    <r>
      <rPr>
        <b/>
        <sz val="12"/>
        <rFont val="Times New Roman"/>
        <family val="1"/>
      </rPr>
      <t>)</t>
    </r>
  </si>
  <si>
    <r>
      <t>ĐMTL*(G</t>
    </r>
    <r>
      <rPr>
        <vertAlign val="subscript"/>
        <sz val="12"/>
        <rFont val="Times New Roman"/>
        <family val="1"/>
        <charset val="163"/>
      </rPr>
      <t>XD</t>
    </r>
    <r>
      <rPr>
        <sz val="12"/>
        <rFont val="Times New Roman"/>
        <family val="1"/>
      </rPr>
      <t>+G</t>
    </r>
    <r>
      <rPr>
        <vertAlign val="subscript"/>
        <sz val="12"/>
        <rFont val="Times New Roman"/>
        <family val="1"/>
        <charset val="163"/>
      </rPr>
      <t>TB</t>
    </r>
    <r>
      <rPr>
        <sz val="12"/>
        <rFont val="Times New Roman"/>
        <family val="1"/>
      </rPr>
      <t>)</t>
    </r>
  </si>
  <si>
    <r>
      <t>D</t>
    </r>
    <r>
      <rPr>
        <sz val="12"/>
        <rFont val="Times New Roman"/>
        <family val="1"/>
        <charset val="163"/>
      </rPr>
      <t>I</t>
    </r>
    <r>
      <rPr>
        <vertAlign val="subscript"/>
        <sz val="12"/>
        <rFont val="Times New Roman"/>
        <family val="1"/>
        <charset val="163"/>
      </rPr>
      <t>XDCTbq</t>
    </r>
    <r>
      <rPr>
        <sz val="12"/>
        <rFont val="Times New Roman"/>
        <family val="1"/>
        <charset val="163"/>
      </rPr>
      <t>: Mức dự báo biến động của các yếu tố chi phí, giá cả.</t>
    </r>
  </si>
  <si>
    <r>
      <t>I</t>
    </r>
    <r>
      <rPr>
        <vertAlign val="subscript"/>
        <sz val="12"/>
        <rFont val="Times New Roman"/>
        <family val="1"/>
        <charset val="163"/>
      </rPr>
      <t>XDCTbq</t>
    </r>
    <r>
      <rPr>
        <sz val="12"/>
        <rFont val="Times New Roman"/>
        <family val="1"/>
      </rPr>
      <t>: Mức độ trượt giá bình quân tính;</t>
    </r>
  </si>
  <si>
    <r>
      <t>Mức độ trượt giá trung bình hàng năm I</t>
    </r>
    <r>
      <rPr>
        <vertAlign val="subscript"/>
        <sz val="12"/>
        <rFont val="Times New Roman"/>
        <family val="1"/>
        <charset val="163"/>
      </rPr>
      <t>XDbq</t>
    </r>
  </si>
  <si>
    <r>
      <t>G</t>
    </r>
    <r>
      <rPr>
        <vertAlign val="subscript"/>
        <sz val="12"/>
        <rFont val="Times New Roman"/>
        <family val="1"/>
      </rPr>
      <t>XDNT</t>
    </r>
  </si>
  <si>
    <r>
      <t>G</t>
    </r>
    <r>
      <rPr>
        <vertAlign val="subscript"/>
        <sz val="12"/>
        <rFont val="Times New Roman"/>
        <family val="1"/>
      </rPr>
      <t>XD</t>
    </r>
  </si>
  <si>
    <t>HS1</t>
  </si>
  <si>
    <t>BẢNG TỔNG HỢP VÀ TÍNH CHÊNH LỆCH VẬT TƯ LẮP ĐẶT THIẾT BỊ</t>
  </si>
  <si>
    <t>BẢNG PHÂN TÍCH ĐƠN GIÁ CHI TIẾT LẮP ĐẶT THIẾT BỊ</t>
  </si>
  <si>
    <t>BẢNG TÍNH GIÁ VẬT LIỆU ĐẾN HIỆN TRƯỜNG LẮP ĐẶT THIẾT BỊ</t>
  </si>
  <si>
    <t>BẢNG TÍNH GIÁ VẬT LIỆU ĐẾN HIỆN TRƯỜNG XÂY DỰNG</t>
  </si>
  <si>
    <r>
      <t>Nhóm II:</t>
    </r>
    <r>
      <rPr>
        <sz val="12"/>
        <rFont val="Times New Roman"/>
        <family val="1"/>
        <charset val="163"/>
      </rPr>
      <t xml:space="preserve"> Tàu khách có sức chở từ trên 12 người đến 50 người; phà có trọng tải toàn phần đến 50 tấn; đoàn lai có trọng tải toàn phần đến 400 tấn;</t>
    </r>
  </si>
  <si>
    <r>
      <t>Nhóm III:</t>
    </r>
    <r>
      <rPr>
        <sz val="12"/>
        <rFont val="Times New Roman"/>
        <family val="1"/>
        <charset val="163"/>
      </rPr>
      <t xml:space="preserve"> Tàu khách có sức chở từ trên 50 người đến 100 người; phà có trọng tải toàn phần trên 50 tấn đến 150 tấn; phương tiện chở hàng có trọng tải</t>
    </r>
  </si>
  <si>
    <r>
      <t>Nhóm IV:</t>
    </r>
    <r>
      <rPr>
        <sz val="12"/>
        <rFont val="Times New Roman"/>
        <family val="1"/>
        <charset val="163"/>
      </rPr>
      <t xml:space="preserve"> Tàu khách có sức chở trên 100 người; phà có trọng tải toàn phần trên 150 tấn; phương tiện chở hàng có trọng tải toàn phần trên 500 tấn;</t>
    </r>
  </si>
  <si>
    <r>
      <t>Nhóm I:</t>
    </r>
    <r>
      <rPr>
        <sz val="12"/>
        <rFont val="Times New Roman"/>
        <family val="1"/>
        <charset val="163"/>
      </rPr>
      <t xml:space="preserve"> Phương tiện không có động cơ có trọng tải toàn phần từ 5 tấn đến 15 tấn; phương tiện có trọng tải động cơ có công suất máy chính từ 5 mã lực</t>
    </r>
  </si>
  <si>
    <r>
      <t xml:space="preserve">Các chức danh quản lý vận hành luồng tàu biển VTS vận dụng xếp như </t>
    </r>
    <r>
      <rPr>
        <sz val="12"/>
        <rFont val="Times New Roman"/>
        <family val="1"/>
        <charset val="163"/>
      </rPr>
      <t>Kiểm soát viên không lưu Bảng lương công nhân viên Hàng không dân dụng (B.8):</t>
    </r>
  </si>
  <si>
    <t>5. Thuyền phó 2 tàu cuốc, kỹ thuật viên cuốc 2 tàu hút; thuyền phó 3, máy 4 tàu hút bụng; máy 3, kỹ thuật viên cuốc 3 tàu cuốc, tàu hút phun,</t>
  </si>
  <si>
    <t>tàu NV bằng gầu ngoạm</t>
  </si>
  <si>
    <t>BẢNG GIÁ CA MÁY VÀ THIẾT BỊ THI CÔNG XÂY DỰNG</t>
  </si>
  <si>
    <t>BẢNG GIÁ CA MÁY VÀ THIẾT BỊ THI CÔNG LẮP ĐẶT THIẾT BỊ</t>
  </si>
  <si>
    <t>Bảng tổng hợp: Dự toán công trình; Chi phí tư vấn; Chi phí khác</t>
  </si>
  <si>
    <t>Bảng dự toán chi phí mua sắm thiết bị</t>
  </si>
  <si>
    <t>Gms</t>
  </si>
  <si>
    <t>Bảng dự toán chi phí lắp đặt thiết bị</t>
  </si>
  <si>
    <t>Bảng tính giá vật liệu đến hiện trường xây dựng</t>
  </si>
  <si>
    <t>VLHT XD</t>
  </si>
  <si>
    <t>BẢNG DỰ TOÁN DỰ THẦU LẮP ĐẶT THIẾT BỊ</t>
  </si>
  <si>
    <t>BẢNG GIÁ TRỊ VẬT TƯ LẮP ĐẶT THIẾT BỊ</t>
  </si>
  <si>
    <t>BẢNG GIÁ TRỊ VẬT TƯ THI CÔNG XÂY DỰNG</t>
  </si>
  <si>
    <t>BẢNG DỰ TOÁN DỰ THẦU THI CÔNG XÂY DỰNG</t>
  </si>
  <si>
    <t>BẢNG PHỤ LỤC VỮA THI CÔNG XÂY DỰNG</t>
  </si>
  <si>
    <t>BẢNG LƯƠNG NHÂN CÔNG XÂY DỰNG</t>
  </si>
  <si>
    <t>BẢNG TIẾN ĐỘ THI CÔNG XÂY DỰNG</t>
  </si>
  <si>
    <t>BẢNG TỔNG HỢP VẬT TƯ XÂY DỰNG VẬN CHUYỂN LÊN CAO</t>
  </si>
  <si>
    <r>
      <t>Chi phí xây dựng (G</t>
    </r>
    <r>
      <rPr>
        <vertAlign val="subscript"/>
        <sz val="12"/>
        <rFont val="Times New Roman"/>
        <family val="1"/>
        <charset val="163"/>
      </rPr>
      <t>XD</t>
    </r>
    <r>
      <rPr>
        <sz val="12"/>
        <rFont val="Times New Roman"/>
        <family val="1"/>
      </rPr>
      <t>):</t>
    </r>
  </si>
  <si>
    <r>
      <t>Chi phí thiết bị (G</t>
    </r>
    <r>
      <rPr>
        <vertAlign val="subscript"/>
        <sz val="12"/>
        <rFont val="Times New Roman"/>
        <family val="1"/>
        <charset val="163"/>
      </rPr>
      <t>TB</t>
    </r>
    <r>
      <rPr>
        <sz val="12"/>
        <rFont val="Times New Roman"/>
        <family val="1"/>
      </rPr>
      <t>):</t>
    </r>
  </si>
  <si>
    <r>
      <t>Chi phí quản lý dự án (G</t>
    </r>
    <r>
      <rPr>
        <vertAlign val="subscript"/>
        <sz val="12"/>
        <rFont val="Times New Roman"/>
        <family val="1"/>
        <charset val="163"/>
      </rPr>
      <t>QLDA</t>
    </r>
    <r>
      <rPr>
        <sz val="12"/>
        <rFont val="Times New Roman"/>
        <family val="1"/>
      </rPr>
      <t>):</t>
    </r>
  </si>
  <si>
    <r>
      <t>Chi phí tư vấn đầu tư xây dựng (G</t>
    </r>
    <r>
      <rPr>
        <vertAlign val="subscript"/>
        <sz val="12"/>
        <rFont val="Times New Roman"/>
        <family val="1"/>
        <charset val="163"/>
      </rPr>
      <t>TV</t>
    </r>
    <r>
      <rPr>
        <sz val="12"/>
        <rFont val="Times New Roman"/>
        <family val="1"/>
      </rPr>
      <t>):</t>
    </r>
  </si>
  <si>
    <r>
      <t>I. Dự phòng cho khối lượng công việc phát sinh (G</t>
    </r>
    <r>
      <rPr>
        <b/>
        <vertAlign val="subscript"/>
        <sz val="12"/>
        <rFont val="Times New Roman"/>
        <family val="1"/>
        <charset val="163"/>
      </rPr>
      <t>dp1</t>
    </r>
    <r>
      <rPr>
        <b/>
        <sz val="12"/>
        <rFont val="Times New Roman"/>
        <family val="1"/>
      </rPr>
      <t>)</t>
    </r>
  </si>
  <si>
    <r>
      <t>II. Dự phòng cho yếu tố trượt giá (G</t>
    </r>
    <r>
      <rPr>
        <b/>
        <vertAlign val="subscript"/>
        <sz val="12"/>
        <rFont val="Times New Roman"/>
        <family val="1"/>
        <charset val="163"/>
      </rPr>
      <t>dp2</t>
    </r>
    <r>
      <rPr>
        <b/>
        <sz val="12"/>
        <rFont val="Times New Roman"/>
        <family val="1"/>
      </rPr>
      <t>)</t>
    </r>
  </si>
  <si>
    <r>
      <t>Trượt giá tích luỹ (G</t>
    </r>
    <r>
      <rPr>
        <vertAlign val="subscript"/>
        <sz val="12"/>
        <rFont val="Times New Roman"/>
        <family val="1"/>
        <charset val="163"/>
      </rPr>
      <t>DP2</t>
    </r>
    <r>
      <rPr>
        <sz val="12"/>
        <rFont val="Times New Roman"/>
        <family val="1"/>
      </rPr>
      <t>)</t>
    </r>
  </si>
  <si>
    <r>
      <t>G</t>
    </r>
    <r>
      <rPr>
        <vertAlign val="subscript"/>
        <sz val="12"/>
        <rFont val="Times New Roman"/>
        <family val="1"/>
        <charset val="163"/>
      </rPr>
      <t>DP</t>
    </r>
    <r>
      <rPr>
        <sz val="12"/>
        <rFont val="Times New Roman"/>
        <family val="1"/>
      </rPr>
      <t xml:space="preserve"> = G</t>
    </r>
    <r>
      <rPr>
        <vertAlign val="subscript"/>
        <sz val="12"/>
        <rFont val="Times New Roman"/>
        <family val="1"/>
        <charset val="163"/>
      </rPr>
      <t>DP1</t>
    </r>
    <r>
      <rPr>
        <sz val="12"/>
        <rFont val="Times New Roman"/>
        <family val="1"/>
      </rPr>
      <t xml:space="preserve"> + G</t>
    </r>
    <r>
      <rPr>
        <vertAlign val="subscript"/>
        <sz val="12"/>
        <rFont val="Times New Roman"/>
        <family val="1"/>
        <charset val="163"/>
      </rPr>
      <t>DP2</t>
    </r>
    <r>
      <rPr>
        <sz val="12"/>
        <rFont val="Times New Roman"/>
        <family val="1"/>
      </rPr>
      <t xml:space="preserve"> =</t>
    </r>
  </si>
  <si>
    <t>BẢNG TIẾN ĐỘ LẮP ĐẶT THIẾT BỊ</t>
  </si>
  <si>
    <t>TIẾN ĐỘ LẮP ĐẶT THIẾT BỊ</t>
  </si>
  <si>
    <t>BẢNG PHỤ LỤC VỮA LẮP ĐẶT THIẾT BỊ</t>
  </si>
  <si>
    <t>BẢNG LƯƠNG NHÂN CÔNG LẮP ĐẶT THIẾT BỊ</t>
  </si>
  <si>
    <t>Chi phí kiểm toán, thẩm tra phê duyệt quyết toán (Thông tư 19/2011/QĐ-BTC)</t>
  </si>
  <si>
    <t>MÃ HIỆU ĐỊNH MỨC</t>
  </si>
  <si>
    <t>MÃ HIỆU
ĐƠN GIÁ</t>
  </si>
  <si>
    <t>ĐỊNH MỨC
HAO PHÍ</t>
  </si>
  <si>
    <t>TÊN CÔNG VIỆC / THÀNH PHẦN HAO PHÍ</t>
  </si>
  <si>
    <t>Ap</t>
  </si>
  <si>
    <t>BẢNG TỔNG HỢP VÀ TÍNH CHÊNH LỆCH VẬT TƯ XÂY DỰNG</t>
  </si>
  <si>
    <t>HS2</t>
  </si>
  <si>
    <t xml:space="preserve">      - Áp dụng định mức dự toán XDCT phần xây dựng ban hành kèm theo văn bản số 1776/2007/BXD-VP ngày 16/08/2007 của Bộ Xây dựng.</t>
  </si>
  <si>
    <t xml:space="preserve">      - Áp dụng định mức dự toán XDCT phần lắp đặt ban hành kèm theo văn bản số 1777/2007/BXD-VP ngày 16/08/2007 của Bộ Xây dựng.</t>
  </si>
  <si>
    <t xml:space="preserve">      - Thông tư số 06/2010/TT-BXD ngày 26/05/2010 của Bộ Xây dựng hướng dẫn phương pháp xác định giá ca máy và thiết bị thi công.</t>
  </si>
  <si>
    <t>I.</t>
  </si>
  <si>
    <t>THÔNG TIN CHUNG</t>
  </si>
  <si>
    <t>II.</t>
  </si>
  <si>
    <t>CÁC HỆ SỐ, ĐỊNH MỨC TỶ LỆ</t>
  </si>
  <si>
    <t>III.</t>
  </si>
  <si>
    <t>CHẾ ĐỘ TIỀN LƯƠNG</t>
  </si>
  <si>
    <t>IV.</t>
  </si>
  <si>
    <t>GIÁ NHIÊN LIỆU, NĂNG LƯỢNG (TRƯỚC VAT)</t>
  </si>
  <si>
    <t>B</t>
  </si>
  <si>
    <t>STT</t>
  </si>
  <si>
    <t>TÊN BẢNG</t>
  </si>
  <si>
    <t>TÊN SHEET</t>
  </si>
  <si>
    <t>Bảng các thông số ban đầu về công trình</t>
  </si>
  <si>
    <t>Ts</t>
  </si>
  <si>
    <t>Thuyết minh lập dự toán</t>
  </si>
  <si>
    <t>TM</t>
  </si>
  <si>
    <t>THKP</t>
  </si>
  <si>
    <t>Bảng tính dự phòng phí</t>
  </si>
  <si>
    <t>Gdp</t>
  </si>
  <si>
    <t>Bảng tính nội suy các định mức tỷ lệ</t>
  </si>
  <si>
    <t>QD957</t>
  </si>
  <si>
    <t>DỰ TOÁN CHI PHÍ XÂY DỰNG</t>
  </si>
  <si>
    <t>Bảng tổng hợp dự toán chi phí xây dựng</t>
  </si>
  <si>
    <t>Gxd</t>
  </si>
  <si>
    <t>Bảng dự toán chi phí xây dựng</t>
  </si>
  <si>
    <t>Dutoan XD</t>
  </si>
  <si>
    <t>TH&amp;CLVT XD</t>
  </si>
  <si>
    <t>DGCT XD</t>
  </si>
  <si>
    <t>GVT XD</t>
  </si>
  <si>
    <t>DỰ TOÁN CHI PHÍ THIẾT BỊ</t>
  </si>
  <si>
    <t>Bảng tổng hợp dự toán chi phí thiết bị</t>
  </si>
  <si>
    <t>Gtb</t>
  </si>
  <si>
    <t>Bảng tổng hợp chi phí đào tạo chuyển giao công nghệ</t>
  </si>
  <si>
    <t>Gdtcg</t>
  </si>
  <si>
    <t>Bảng tổng hợp dự toán chi phí lắp đặt thiết bị</t>
  </si>
  <si>
    <t>Gld</t>
  </si>
  <si>
    <t>Dutoan TB</t>
  </si>
  <si>
    <t>TH&amp;CLVT TB</t>
  </si>
  <si>
    <t>DGCT TB</t>
  </si>
  <si>
    <t>GVT TB</t>
  </si>
  <si>
    <t>DTDT TB</t>
  </si>
  <si>
    <t>CÔNG TY CP GIÁ XÂY DỰNG</t>
  </si>
  <si>
    <t>CỘNG HOÀ XÃ HỘI CHỦ NGHĨA VIỆT NAM</t>
  </si>
  <si>
    <t>WWW.GIAXAYDUNG.VN</t>
  </si>
  <si>
    <t>Độc lập - Tự do - Hạnh phúc</t>
  </si>
  <si>
    <t>DỰ TOÁN XÂY DỰNG CÔNG TRÌNH</t>
  </si>
  <si>
    <t>Số : ……./…….</t>
  </si>
  <si>
    <t>CÔNG TRÌNH:</t>
  </si>
  <si>
    <t>ĐỊA ĐIỂM:</t>
  </si>
  <si>
    <t>CHỦ ĐẦU TƯ:</t>
  </si>
  <si>
    <t xml:space="preserve">          Số : ……./……….</t>
  </si>
  <si>
    <t>Giá trị dự toán:</t>
  </si>
  <si>
    <t>đồng</t>
  </si>
  <si>
    <t xml:space="preserve">Hà Nội, </t>
  </si>
  <si>
    <t>ngày</t>
  </si>
  <si>
    <t>tháng</t>
  </si>
  <si>
    <t>năm</t>
  </si>
  <si>
    <t>GIÁM ĐỐC</t>
  </si>
  <si>
    <t>NGUYỄN THÀNH CÔNG</t>
  </si>
  <si>
    <t>THUYẾT MINH LẬP DỰ TOÁN</t>
  </si>
  <si>
    <t>CƠ SỞ LẬP DỰ TOÁN:</t>
  </si>
  <si>
    <t xml:space="preserve">  1. Các văn bản:</t>
  </si>
  <si>
    <t xml:space="preserve">      - Nghị định số 112/2009/NĐ-CP ngày 14/12/2009 của Chính phủ về quản lý chi phí đầu tư xây dựng công trình.</t>
  </si>
  <si>
    <t xml:space="preserve">      - Thông tư số 04/2010/TT-BXD ngày 26/05/2010 của Bộ Xây dựng hướng dẫn lập và quản lý chi phí đầu tư xây dựng công trình.</t>
  </si>
  <si>
    <t xml:space="preserve">      - Quyết định số ....</t>
  </si>
  <si>
    <t xml:space="preserve">      - Thông tư số 129/2008/TT-BTC ngày 26/12/2008 của Bộ Tài chính hướng dẫn thi hành một số điều của Luật thuế giá trị gia tăng và hướng dẫn thi hành Nghị định số 123/2008/NĐ-CP ngày 08/12/2008 của Chính phủ quy định chi tiết hướng dẫn thi hành một số điều của Luật thuế giá trị gia tăng.</t>
  </si>
  <si>
    <t xml:space="preserve">      - Công bố giá vật liệu Liên Sở Xây dựng - Tài chính tỉnh ....</t>
  </si>
  <si>
    <t xml:space="preserve">      - Căn cứ vào khối lượng xác định từ hồ sơ bản vẽ thiết kế.</t>
  </si>
  <si>
    <t xml:space="preserve">      - Căn cứ vào các thông tư định mức, đơn giá của Nhà nước và địa phương ban hành.</t>
  </si>
  <si>
    <t xml:space="preserve">      - Một số tài liệu khác có liên quan.</t>
  </si>
  <si>
    <t xml:space="preserve">  2. Định mức:</t>
  </si>
  <si>
    <t xml:space="preserve">  3. Đơn giá áp dụng:</t>
  </si>
  <si>
    <t xml:space="preserve">      - Đơn giá xây dựng công trình phần xây dựng ban hành kèm theo quyết định số .../2006/QĐ-UBND ngày .../.../2006 của UBND Tỉnh ....</t>
  </si>
  <si>
    <r>
      <t>20%*G</t>
    </r>
    <r>
      <rPr>
        <vertAlign val="subscript"/>
        <sz val="10"/>
        <rFont val="Times New Roman"/>
        <family val="1"/>
      </rPr>
      <t>QLDA</t>
    </r>
  </si>
  <si>
    <t>Thông tư 22/2010/TT-BKH ngày 02/12/2010</t>
  </si>
  <si>
    <t>Thiết kế 1 bước</t>
  </si>
  <si>
    <t>Tổng dự toán nhóm V</t>
  </si>
  <si>
    <r>
      <rPr>
        <b/>
        <u/>
        <sz val="10"/>
        <rFont val="Times New Roman"/>
        <family val="1"/>
        <charset val="163"/>
      </rPr>
      <t>Lưu ý</t>
    </r>
    <r>
      <rPr>
        <sz val="10"/>
        <rFont val="Times New Roman"/>
        <family val="1"/>
        <charset val="163"/>
      </rPr>
      <t>: Ở dưới có bảng tính chi phí tư vấn và chi phí khác.</t>
    </r>
  </si>
  <si>
    <t>CHI PHÍ TƯ VẤN ĐẦU TƯ XÂY DỰNG CÔNG TRÌNH (QĐ 957)</t>
  </si>
  <si>
    <t>Thiết kế BVTC - 2 bước</t>
  </si>
  <si>
    <t>Thiết kế kỹ thuật - 3 bước</t>
  </si>
  <si>
    <r>
      <t>LÀM TRÒN (G</t>
    </r>
    <r>
      <rPr>
        <b/>
        <vertAlign val="subscript"/>
        <sz val="10"/>
        <color indexed="9"/>
        <rFont val="Arial"/>
        <family val="2"/>
        <charset val="163"/>
      </rPr>
      <t>XDCT</t>
    </r>
    <r>
      <rPr>
        <b/>
        <sz val="10"/>
        <color indexed="9"/>
        <rFont val="Arial"/>
        <family val="2"/>
        <charset val="163"/>
      </rPr>
      <t>):</t>
    </r>
  </si>
  <si>
    <t>TMĐT</t>
  </si>
  <si>
    <t>Các dòng chi phí</t>
  </si>
  <si>
    <t>Chi phí trực tiếp khác (TT)</t>
  </si>
  <si>
    <t>Chi phí trực tiếp (T)</t>
  </si>
  <si>
    <t>Chi phí chung (C)</t>
  </si>
  <si>
    <t>Thu nhập chịu thuế tính trước (TL)</t>
  </si>
  <si>
    <t>Thuế giá trị gia tăng (GTGT)</t>
  </si>
  <si>
    <t>Các định nghĩa trong phần mềm</t>
  </si>
  <si>
    <t>Vật liệu</t>
  </si>
  <si>
    <t>Nhân công</t>
  </si>
  <si>
    <t>Vật liệu khác</t>
  </si>
  <si>
    <t>Máy khác</t>
  </si>
  <si>
    <t>Máy thi công</t>
  </si>
  <si>
    <t>Vật liệu phụ</t>
  </si>
  <si>
    <t>BẢNG DỰ TOÁN</t>
  </si>
  <si>
    <t>BẢNG TIÊN LƯỢNG</t>
  </si>
  <si>
    <t>BẢNG TÍNH BÙ GIÁ CA MÁY THEO TT06</t>
  </si>
  <si>
    <t>Dữ liệu cước vận chuyển</t>
  </si>
  <si>
    <t>Loại đường</t>
  </si>
  <si>
    <t>Hệ số bậc hàng</t>
  </si>
  <si>
    <t>Tổng cộng</t>
  </si>
  <si>
    <t>ĐỊNH MỨC KHẤU HAO, SỬA CHỮA, CHI PHÍ KHÁC / NĂM (%/GIÁ TÍNH KH)</t>
  </si>
  <si>
    <t>CP #</t>
  </si>
  <si>
    <t>NGUYÊN GIÁ (GIÁ TÍNH KHẤU HAO)</t>
  </si>
  <si>
    <t>LOẠI MÁY, THIẾT BỊ</t>
  </si>
  <si>
    <t>SỐ CA/ NĂM</t>
  </si>
  <si>
    <t>THÀNH PHẦN CẤP BẬC THỢ ĐIỀU KHIỂN MÁY</t>
  </si>
  <si>
    <t>CHI PHÍ TIỀN LƯƠNG TẠI THỜI ĐIỂM GỐC</t>
  </si>
  <si>
    <t>CHI PHÍ NHIỀN LIỆU, NĂNG LƯỢNG TẠI THỜI ĐIỂM ĐIỀU CHỈNH</t>
  </si>
  <si>
    <r>
      <t>GIÁ CA MÁY ĐIỀU CHỈNH (C</t>
    </r>
    <r>
      <rPr>
        <b/>
        <vertAlign val="subscript"/>
        <sz val="9"/>
        <color rgb="FFFF0000"/>
        <rFont val="Arial"/>
        <family val="2"/>
        <charset val="163"/>
      </rPr>
      <t>CMĐC</t>
    </r>
    <r>
      <rPr>
        <b/>
        <sz val="9"/>
        <color rgb="FFFF0000"/>
        <rFont val="Arial"/>
        <family val="2"/>
        <charset val="163"/>
      </rPr>
      <t>)</t>
    </r>
  </si>
  <si>
    <r>
      <t>CHI PHÍ TRONG G</t>
    </r>
    <r>
      <rPr>
        <b/>
        <vertAlign val="subscript"/>
        <sz val="9"/>
        <rFont val="Arial"/>
        <family val="2"/>
        <charset val="163"/>
      </rPr>
      <t>CM</t>
    </r>
    <r>
      <rPr>
        <b/>
        <sz val="9"/>
        <rFont val="Arial"/>
        <family val="2"/>
        <charset val="163"/>
      </rPr>
      <t xml:space="preserve"> TẠI THỜI ĐIỂM GỐC</t>
    </r>
  </si>
  <si>
    <r>
      <t>ĐỊNH MỨC TIÊU HAO NHIÊN LIỆU, NĂNG LƯỢNG 1 CA (C</t>
    </r>
    <r>
      <rPr>
        <b/>
        <vertAlign val="subscript"/>
        <sz val="9"/>
        <rFont val="Arial"/>
        <family val="2"/>
        <charset val="163"/>
      </rPr>
      <t>NL</t>
    </r>
    <r>
      <rPr>
        <b/>
        <sz val="9"/>
        <rFont val="Arial"/>
        <family val="2"/>
      </rPr>
      <t>)</t>
    </r>
  </si>
  <si>
    <r>
      <t>CHI PHÍ KHẤU HAO
(C</t>
    </r>
    <r>
      <rPr>
        <b/>
        <vertAlign val="subscript"/>
        <sz val="9"/>
        <color rgb="FF0000CC"/>
        <rFont val="Arial"/>
        <family val="2"/>
      </rPr>
      <t>KH</t>
    </r>
    <r>
      <rPr>
        <b/>
        <sz val="9"/>
        <color rgb="FF0000CC"/>
        <rFont val="Arial"/>
        <family val="2"/>
      </rPr>
      <t>)</t>
    </r>
  </si>
  <si>
    <r>
      <t>CHI PHÍ SỬA CHỮA
(C</t>
    </r>
    <r>
      <rPr>
        <b/>
        <vertAlign val="subscript"/>
        <sz val="9"/>
        <color rgb="FF0000CC"/>
        <rFont val="Arial"/>
        <family val="2"/>
      </rPr>
      <t>SC</t>
    </r>
    <r>
      <rPr>
        <b/>
        <sz val="9"/>
        <color rgb="FF0000CC"/>
        <rFont val="Arial"/>
        <family val="2"/>
      </rPr>
      <t>)</t>
    </r>
  </si>
  <si>
    <r>
      <t>CHI PHÍ NHIÊN LIỆU, NĂNG LƯỢNG
(C</t>
    </r>
    <r>
      <rPr>
        <b/>
        <vertAlign val="subscript"/>
        <sz val="9"/>
        <color rgb="FF0000CC"/>
        <rFont val="Arial"/>
        <family val="2"/>
      </rPr>
      <t>NL</t>
    </r>
    <r>
      <rPr>
        <b/>
        <sz val="9"/>
        <color rgb="FF0000CC"/>
        <rFont val="Arial"/>
        <family val="2"/>
      </rPr>
      <t>)</t>
    </r>
  </si>
  <si>
    <r>
      <t>CHI PHÍ TIỀN LƯƠNG
(C</t>
    </r>
    <r>
      <rPr>
        <b/>
        <vertAlign val="subscript"/>
        <sz val="9"/>
        <color rgb="FF0000CC"/>
        <rFont val="Arial"/>
        <family val="2"/>
      </rPr>
      <t>TL</t>
    </r>
    <r>
      <rPr>
        <b/>
        <sz val="9"/>
        <color rgb="FF0000CC"/>
        <rFont val="Arial"/>
        <family val="2"/>
      </rPr>
      <t>)</t>
    </r>
  </si>
  <si>
    <r>
      <t>CHI PHÍ KHÁC
(C</t>
    </r>
    <r>
      <rPr>
        <b/>
        <vertAlign val="subscript"/>
        <sz val="9"/>
        <color rgb="FF0000CC"/>
        <rFont val="Arial"/>
        <family val="2"/>
      </rPr>
      <t>CPK</t>
    </r>
    <r>
      <rPr>
        <b/>
        <sz val="9"/>
        <color rgb="FF0000CC"/>
        <rFont val="Arial"/>
        <family val="2"/>
      </rPr>
      <t>)</t>
    </r>
  </si>
  <si>
    <r>
      <t>GIÁ CA MÁY
(C</t>
    </r>
    <r>
      <rPr>
        <b/>
        <vertAlign val="subscript"/>
        <sz val="9"/>
        <color rgb="FFFF0000"/>
        <rFont val="Arial"/>
        <family val="2"/>
      </rPr>
      <t>CM</t>
    </r>
    <r>
      <rPr>
        <b/>
        <sz val="9"/>
        <color rgb="FFFF0000"/>
        <rFont val="Arial"/>
        <family val="2"/>
      </rPr>
      <t>)</t>
    </r>
  </si>
  <si>
    <t>NGUYÊN GIÁ (GIÁ TÍNH KHẤU HAO) TẠI THỜI ĐIỂM GỐC</t>
  </si>
  <si>
    <t>NGUYÊN GIÁ (GIÁ TÍNH KHẤU HAO) TẠI THỜI ĐIỂM ĐIỀU CHỈNH</t>
  </si>
  <si>
    <t>HỆ SỐ NHIÊN LIỆU PHỤ</t>
  </si>
  <si>
    <r>
      <t>HỆ SỐ ĐIỀU CHỈNH CHI PHÍ TIỀN LƯƠNG (K</t>
    </r>
    <r>
      <rPr>
        <b/>
        <vertAlign val="subscript"/>
        <sz val="9"/>
        <color rgb="FF0000CC"/>
        <rFont val="Arial"/>
        <family val="2"/>
        <charset val="163"/>
      </rPr>
      <t>3</t>
    </r>
    <r>
      <rPr>
        <b/>
        <sz val="9"/>
        <color rgb="FF0000CC"/>
        <rFont val="Arial"/>
        <family val="2"/>
        <charset val="163"/>
      </rPr>
      <t>)</t>
    </r>
  </si>
  <si>
    <t>CHI PHÍ TIỀN LƯƠNG TẠI THỜI ĐIỂM ĐIỀU CHỈNH</t>
  </si>
  <si>
    <r>
      <t>HỆ SỐ ĐIỀU CHỈNH NGUYÊN GIÁ (K</t>
    </r>
    <r>
      <rPr>
        <b/>
        <vertAlign val="subscript"/>
        <sz val="9"/>
        <rFont val="Calibri"/>
        <family val="2"/>
        <charset val="163"/>
        <scheme val="minor"/>
      </rPr>
      <t>1</t>
    </r>
    <r>
      <rPr>
        <b/>
        <sz val="9"/>
        <rFont val="Calibri"/>
        <family val="2"/>
        <charset val="163"/>
        <scheme val="minor"/>
      </rPr>
      <t>)</t>
    </r>
  </si>
  <si>
    <r>
      <t>HỆ SỐ ĐIỀU CHỈNH CHI PHÍ NHIÊN LIỆU, NĂNG LƯỢNG (K</t>
    </r>
    <r>
      <rPr>
        <b/>
        <vertAlign val="subscript"/>
        <sz val="9"/>
        <color rgb="FF0000CC"/>
        <rFont val="Arial"/>
        <family val="2"/>
        <charset val="163"/>
      </rPr>
      <t>2</t>
    </r>
    <r>
      <rPr>
        <b/>
        <sz val="9"/>
        <color rgb="FF0000CC"/>
        <rFont val="Arial"/>
        <family val="2"/>
        <charset val="163"/>
      </rPr>
      <t>)</t>
    </r>
  </si>
  <si>
    <t>CHI PHÍ NHIÊN LIỆU, NĂNG LƯỢNG TẠI THỜI ĐIỂM GỐC</t>
  </si>
  <si>
    <r>
      <t>HỆ SỐ ĐIỀU CHỈNH CHI PHÍ TIỀN LƯƠNG (K</t>
    </r>
    <r>
      <rPr>
        <b/>
        <vertAlign val="subscript"/>
        <sz val="9"/>
        <color rgb="FF0000CC"/>
        <rFont val="Arial"/>
        <family val="2"/>
      </rPr>
      <t>3</t>
    </r>
    <r>
      <rPr>
        <b/>
        <sz val="9"/>
        <color rgb="FF0000CC"/>
        <rFont val="Arial"/>
        <family val="2"/>
      </rPr>
      <t>)</t>
    </r>
  </si>
  <si>
    <r>
      <t>GIÁ CA MÁY ĐIỀU CHỈNH (C</t>
    </r>
    <r>
      <rPr>
        <b/>
        <vertAlign val="subscript"/>
        <sz val="9"/>
        <color rgb="FFFF0000"/>
        <rFont val="Arial"/>
        <family val="2"/>
      </rPr>
      <t>CMĐC</t>
    </r>
    <r>
      <rPr>
        <b/>
        <sz val="9"/>
        <color rgb="FFFF0000"/>
        <rFont val="Arial"/>
        <family val="2"/>
      </rPr>
      <t>)</t>
    </r>
  </si>
  <si>
    <t>LOẠI NHÂN CÔNG</t>
  </si>
  <si>
    <t>GIÁ VẬT TƯ GỐC</t>
  </si>
  <si>
    <t xml:space="preserve">CÔNG TRÌNH: </t>
  </si>
  <si>
    <t xml:space="preserve">HẠNG MỤC: </t>
  </si>
  <si>
    <t>Không ổn định SX</t>
  </si>
  <si>
    <t>PHÂN TÍCH HAO PHÍ VẬT TƯ THEO ĐỊNH MỨC</t>
  </si>
  <si>
    <t>BẢNG TÍNH BÙ GIÁ CA MÁY (ĐƠN GIẢN)</t>
  </si>
  <si>
    <t xml:space="preserve">B.2.I.1. Tàu vận tải biển, vận tải sông không theo nhóm tàu </t>
  </si>
  <si>
    <t>phương tiện có tổng công suất máy chính từ trên 15 mã lực đến 150 mã lực.</t>
  </si>
  <si>
    <t>đoàn lai có trọng tải toàn phần trên đồng tấn; phương tiện có tổng công suất máy chính trên 400 mã lực.</t>
  </si>
  <si>
    <t>A.1.8. BẢNG LƯƠNG CÔNG NHÂN XDCB (THEO NGHỊ ĐỊNH 205/2004/NĐ-CP NGÀY 14/12/2004)</t>
  </si>
  <si>
    <t xml:space="preserve"> HÀNG HẢI</t>
  </si>
  <si>
    <t xml:space="preserve">1/ Tàu nạo vét biển </t>
  </si>
  <si>
    <t>N1307dt</t>
  </si>
  <si>
    <t>N1357dt</t>
  </si>
  <si>
    <t>N1407dt</t>
  </si>
  <si>
    <t>N1457dt</t>
  </si>
  <si>
    <t>N1507dt</t>
  </si>
  <si>
    <t>N1557dt</t>
  </si>
  <si>
    <t>N1607dt</t>
  </si>
  <si>
    <t>N1707dt</t>
  </si>
  <si>
    <t>N2307dt</t>
  </si>
  <si>
    <t>N2357dt</t>
  </si>
  <si>
    <t>N2407dt</t>
  </si>
  <si>
    <t>N2457dt</t>
  </si>
  <si>
    <t>N2507dt</t>
  </si>
  <si>
    <t>N2557dt</t>
  </si>
  <si>
    <t>N2607dt</t>
  </si>
  <si>
    <t>N2707dt</t>
  </si>
  <si>
    <t>N3307dt</t>
  </si>
  <si>
    <t>N3357dt</t>
  </si>
  <si>
    <t>N3407dt</t>
  </si>
  <si>
    <t>N3457dt</t>
  </si>
  <si>
    <t>N3507dt</t>
  </si>
  <si>
    <t>N3557dt</t>
  </si>
  <si>
    <t>N3607dt</t>
  </si>
  <si>
    <t>N3707dt</t>
  </si>
  <si>
    <t>A.1.5. BẢNG LƯƠNG CÔNG NHÂN CÔNG TRÌNH ĐÔ THỊ (THEO NGHỊ ĐỊNH 205/2004/NĐ-CP NGÀY 14/12/2004)</t>
  </si>
  <si>
    <t>2,7/4</t>
  </si>
  <si>
    <t>1/4</t>
  </si>
  <si>
    <t>2/4</t>
  </si>
  <si>
    <t>3/4</t>
  </si>
  <si>
    <t>4/4</t>
  </si>
  <si>
    <t>N304TTvb</t>
  </si>
  <si>
    <t>N404TTvb</t>
  </si>
  <si>
    <t>N304TTvs</t>
  </si>
  <si>
    <t>N404TTvs</t>
  </si>
  <si>
    <t>CƯỚC TĂNG THÊM</t>
  </si>
  <si>
    <t>Giá trị dự toán</t>
  </si>
  <si>
    <t>MHVB</t>
  </si>
  <si>
    <r>
      <t>G</t>
    </r>
    <r>
      <rPr>
        <vertAlign val="subscript"/>
        <sz val="12"/>
        <color rgb="FF0000CC"/>
        <rFont val="Times New Roman"/>
        <family val="1"/>
      </rPr>
      <t>XDNT</t>
    </r>
  </si>
  <si>
    <t>Xăng (đ/lít)</t>
  </si>
  <si>
    <t>Dầu Diezel (đ/lít)</t>
  </si>
  <si>
    <t>Ma dút (đ/lít)</t>
  </si>
  <si>
    <t>Dầu hỏa (đ/lít)</t>
  </si>
  <si>
    <t>Dầu DO (đ/lít)</t>
  </si>
  <si>
    <t>Điện (đ/kw)</t>
  </si>
  <si>
    <r>
      <t>G</t>
    </r>
    <r>
      <rPr>
        <b/>
        <vertAlign val="subscript"/>
        <sz val="12"/>
        <rFont val="Times New Roman"/>
        <family val="1"/>
      </rPr>
      <t>NL</t>
    </r>
    <r>
      <rPr>
        <b/>
        <sz val="12"/>
        <rFont val="Times New Roman"/>
        <family val="1"/>
      </rPr>
      <t xml:space="preserve"> GCM đp:</t>
    </r>
  </si>
  <si>
    <r>
      <t>G</t>
    </r>
    <r>
      <rPr>
        <b/>
        <vertAlign val="subscript"/>
        <sz val="12"/>
        <rFont val="Times New Roman"/>
        <family val="1"/>
      </rPr>
      <t>NC</t>
    </r>
    <r>
      <rPr>
        <b/>
        <sz val="12"/>
        <rFont val="Times New Roman"/>
        <family val="1"/>
      </rPr>
      <t xml:space="preserve"> GCM ht:</t>
    </r>
  </si>
  <si>
    <t>Phụ cấp lưu động:</t>
  </si>
  <si>
    <t>Phụ cấp khu vực:</t>
  </si>
  <si>
    <t>Phụ cấp độc hại:</t>
  </si>
  <si>
    <t>Tổng các phụ cấp theo LTT:</t>
  </si>
  <si>
    <t>Bảng phân tích đơn giá chi tiết và phân tích vật tư</t>
  </si>
  <si>
    <t>Nvs274</t>
  </si>
  <si>
    <t>Nvs304</t>
  </si>
  <si>
    <t>Nvb274</t>
  </si>
  <si>
    <t>Nvb304</t>
  </si>
  <si>
    <t>Bảng lương nhân công xây dựng</t>
  </si>
  <si>
    <t>Lập trình VBA, Macro4 trong Excel</t>
  </si>
  <si>
    <t>Công bố giá vật liệu địa phương</t>
  </si>
  <si>
    <t>Báo giá vật liệu xây dựng từ thị trường</t>
  </si>
  <si>
    <t>Quản lý dự án đầu tư xây dựng công trình</t>
  </si>
  <si>
    <t>Quản lý chi phí đầu tư xây dựng</t>
  </si>
  <si>
    <t>Chênh lệch nhân công</t>
  </si>
  <si>
    <t>CLNC</t>
  </si>
  <si>
    <t>Bảng Dutoan</t>
  </si>
  <si>
    <t>Tra lại tên công việc khi thay đổi mã đơn giá</t>
  </si>
  <si>
    <t>Tính lại khi đơn giá khi thay đổi mã vữa</t>
  </si>
  <si>
    <t>Tổng hợp theo tên vật tư</t>
  </si>
  <si>
    <t>Bóc thép theo diễn giải</t>
  </si>
  <si>
    <t>Phân tích đơn giá chi tiết theo vữa</t>
  </si>
  <si>
    <t>Tính ĐGCT theo đơn giá đầy đủ</t>
  </si>
  <si>
    <t>Dùng hệ số trong đơn giá chi tiết</t>
  </si>
  <si>
    <t>Chung</t>
  </si>
  <si>
    <t>Phụ cấp lưu động (%LTTC)</t>
  </si>
  <si>
    <t>Lương phụ (%LCB)</t>
  </si>
  <si>
    <t>Chi phí khoán trực tiếp (%LCB)</t>
  </si>
  <si>
    <t>Phụ cấp không ổn định sản xuất (%LCB)</t>
  </si>
  <si>
    <t>Phụ cấp khu vực (%LTTC)</t>
  </si>
  <si>
    <t>Phụ cấp thu hút (%LCB)</t>
  </si>
  <si>
    <t>Phụ cấp độc hại (%LTTC)</t>
  </si>
  <si>
    <t>Phụ cấp đặc biệt (%LCB)</t>
  </si>
  <si>
    <t>Phụ cấp làm ca đêm (%LCB)</t>
  </si>
  <si>
    <t>Cnc</t>
  </si>
  <si>
    <t>CLVL</t>
  </si>
  <si>
    <t>ĐGVL</t>
  </si>
  <si>
    <t>ĐGNC</t>
  </si>
  <si>
    <t>ĐGM</t>
  </si>
  <si>
    <t>ĐGVLP</t>
  </si>
  <si>
    <r>
      <t>G</t>
    </r>
    <r>
      <rPr>
        <b/>
        <vertAlign val="subscript"/>
        <sz val="9"/>
        <rFont val="Arial"/>
        <family val="2"/>
      </rPr>
      <t>XDNT</t>
    </r>
  </si>
  <si>
    <r>
      <t>G</t>
    </r>
    <r>
      <rPr>
        <b/>
        <vertAlign val="subscript"/>
        <sz val="9"/>
        <rFont val="Arial"/>
        <family val="2"/>
      </rPr>
      <t>XD</t>
    </r>
  </si>
  <si>
    <t>Phí thẩm định dự án</t>
  </si>
  <si>
    <t>BIỂU MỨC THU PHÍ THẨM ĐỊNH DỰ ÁN ĐẦU TƯ XÂY DỰNG</t>
  </si>
  <si>
    <t>(theo Thông tư số 176/2011/TT-BTC ngày 6/12/2011 của Bộ Tài chính)</t>
  </si>
  <si>
    <t>Tổng mức đầu tư DA (tỷ đ)</t>
  </si>
  <si>
    <t>Tỷ lệ %</t>
  </si>
  <si>
    <t>Chi phí thẩm tra kết quả lựa chọn nhà thầu XL</t>
  </si>
  <si>
    <t>Chi phí thẩm tra kết quả lựa chọn nhà thầu TB</t>
  </si>
  <si>
    <t>Phí thẩm định dự án đầu tư</t>
  </si>
  <si>
    <t>Chi phí thẩm định kết quả lựa chọn nhà thầu xây dựng</t>
  </si>
  <si>
    <t>Chi phí thẩm định kết quả lựa chọn nhà thầu cung cấp, lắp đặt thiết bị</t>
  </si>
  <si>
    <r>
      <t>CHI PHÍ KHẤU HAO
(C</t>
    </r>
    <r>
      <rPr>
        <b/>
        <vertAlign val="subscript"/>
        <sz val="9"/>
        <rFont val="Arial"/>
        <family val="2"/>
      </rPr>
      <t>KH</t>
    </r>
    <r>
      <rPr>
        <b/>
        <sz val="9"/>
        <rFont val="Arial"/>
        <family val="2"/>
      </rPr>
      <t>)</t>
    </r>
  </si>
  <si>
    <r>
      <t>CHI PHÍ SỬA CHỮA
(C</t>
    </r>
    <r>
      <rPr>
        <b/>
        <vertAlign val="subscript"/>
        <sz val="9"/>
        <rFont val="Arial"/>
        <family val="2"/>
      </rPr>
      <t>SC</t>
    </r>
    <r>
      <rPr>
        <b/>
        <sz val="9"/>
        <rFont val="Arial"/>
        <family val="2"/>
      </rPr>
      <t>)</t>
    </r>
  </si>
  <si>
    <r>
      <t>CHI PHÍ NHIÊN LIỆU, NĂNG LƯỢNG
(C</t>
    </r>
    <r>
      <rPr>
        <b/>
        <vertAlign val="subscript"/>
        <sz val="9"/>
        <rFont val="Arial"/>
        <family val="2"/>
      </rPr>
      <t>NL</t>
    </r>
    <r>
      <rPr>
        <b/>
        <sz val="9"/>
        <rFont val="Arial"/>
        <family val="2"/>
      </rPr>
      <t>)</t>
    </r>
  </si>
  <si>
    <r>
      <t>CHI PHÍ TIỀN LƯƠNG
(C</t>
    </r>
    <r>
      <rPr>
        <b/>
        <vertAlign val="subscript"/>
        <sz val="9"/>
        <rFont val="Arial"/>
        <family val="2"/>
      </rPr>
      <t>TL</t>
    </r>
    <r>
      <rPr>
        <b/>
        <sz val="9"/>
        <rFont val="Arial"/>
        <family val="2"/>
      </rPr>
      <t>)</t>
    </r>
  </si>
  <si>
    <r>
      <t>CHI PHÍ KHÁC
(C</t>
    </r>
    <r>
      <rPr>
        <b/>
        <vertAlign val="subscript"/>
        <sz val="9"/>
        <rFont val="Arial"/>
        <family val="2"/>
      </rPr>
      <t>CPK</t>
    </r>
    <r>
      <rPr>
        <b/>
        <sz val="9"/>
        <rFont val="Arial"/>
        <family val="2"/>
      </rPr>
      <t>)</t>
    </r>
  </si>
  <si>
    <r>
      <t>GIÁ CA MÁY
(C</t>
    </r>
    <r>
      <rPr>
        <b/>
        <vertAlign val="subscript"/>
        <sz val="9"/>
        <rFont val="Arial"/>
        <family val="2"/>
      </rPr>
      <t>CM</t>
    </r>
    <r>
      <rPr>
        <b/>
        <sz val="9"/>
        <rFont val="Arial"/>
        <family val="2"/>
      </rPr>
      <t>)</t>
    </r>
  </si>
  <si>
    <t xml:space="preserve"> - Bảng Tổng hợp chi phí tư vấn và chi phí khác trên đây được kê ra các khoản mục chi phí bao gồm cả việc xác định trong TMĐT, khi lập dự toán hay tổng dự toán phải lược bỏ các khoản chi phí cho phù hợp.</t>
  </si>
  <si>
    <t>GIÁ VẬT TƯ TẠI THỜI ĐIỂM LẬP DỰ TOÁN</t>
  </si>
  <si>
    <t>Tổng mức đầu tư (TMĐT)</t>
  </si>
  <si>
    <t>CHI PHÍ KHÁC (176/BTC và Thông tư 19/2011/TT-BTC)</t>
  </si>
  <si>
    <r>
      <t>G*T</t>
    </r>
    <r>
      <rPr>
        <vertAlign val="superscript"/>
        <sz val="12"/>
        <rFont val="Times New Roman"/>
        <family val="1"/>
      </rPr>
      <t>GTGT-XD</t>
    </r>
  </si>
  <si>
    <r>
      <t>G*tỷ lệ*(1+T</t>
    </r>
    <r>
      <rPr>
        <vertAlign val="superscript"/>
        <sz val="12"/>
        <rFont val="Times New Roman"/>
        <family val="1"/>
      </rPr>
      <t>GTGT-XD</t>
    </r>
    <r>
      <rPr>
        <sz val="12"/>
        <rFont val="Times New Roman"/>
        <family val="1"/>
      </rPr>
      <t>)</t>
    </r>
  </si>
  <si>
    <r>
      <t>G</t>
    </r>
    <r>
      <rPr>
        <vertAlign val="subscript"/>
        <sz val="12"/>
        <rFont val="Times New Roman"/>
        <family val="1"/>
      </rPr>
      <t>LD</t>
    </r>
    <r>
      <rPr>
        <sz val="12"/>
        <rFont val="Times New Roman"/>
        <family val="1"/>
      </rPr>
      <t xml:space="preserve"> + G</t>
    </r>
    <r>
      <rPr>
        <vertAlign val="subscript"/>
        <sz val="12"/>
        <rFont val="Times New Roman"/>
        <family val="1"/>
      </rPr>
      <t>XDNT</t>
    </r>
  </si>
  <si>
    <r>
      <t>G</t>
    </r>
    <r>
      <rPr>
        <vertAlign val="subscript"/>
        <sz val="12"/>
        <rFont val="Times New Roman"/>
        <family val="1"/>
      </rPr>
      <t>XD</t>
    </r>
    <r>
      <rPr>
        <sz val="12"/>
        <rFont val="Times New Roman"/>
        <family val="1"/>
      </rPr>
      <t xml:space="preserve"> + G</t>
    </r>
    <r>
      <rPr>
        <vertAlign val="subscript"/>
        <sz val="12"/>
        <rFont val="Times New Roman"/>
        <family val="1"/>
      </rPr>
      <t>XDNT</t>
    </r>
  </si>
  <si>
    <t>TMDT</t>
  </si>
  <si>
    <t>[1]</t>
  </si>
  <si>
    <t>[1a]</t>
  </si>
  <si>
    <t>[1b]</t>
  </si>
  <si>
    <t>[2]</t>
  </si>
  <si>
    <t>[3]</t>
  </si>
  <si>
    <t>[4]</t>
  </si>
  <si>
    <t>[5]</t>
  </si>
  <si>
    <t>[6]</t>
  </si>
  <si>
    <t>[6']</t>
  </si>
  <si>
    <t>[7]</t>
  </si>
  <si>
    <t>[8]</t>
  </si>
  <si>
    <t>[9]=[5]*[6]</t>
  </si>
  <si>
    <t>[9']=[5]*[6']</t>
  </si>
  <si>
    <t>[10]=[5]*[7]</t>
  </si>
  <si>
    <t>[11]=[5]*[8]</t>
  </si>
  <si>
    <t>[9]</t>
  </si>
  <si>
    <t>[9']</t>
  </si>
  <si>
    <t>[8]=[7]-[6]</t>
  </si>
  <si>
    <t>[9]=[5]*[8]</t>
  </si>
  <si>
    <t>[10]</t>
  </si>
  <si>
    <t>[11]</t>
  </si>
  <si>
    <t>[12]</t>
  </si>
  <si>
    <t>[13]</t>
  </si>
  <si>
    <t>[14]</t>
  </si>
  <si>
    <t>[15]</t>
  </si>
  <si>
    <t>[16]</t>
  </si>
  <si>
    <t>[17]</t>
  </si>
  <si>
    <t>[18]</t>
  </si>
  <si>
    <t>[19]</t>
  </si>
  <si>
    <t>[20]</t>
  </si>
  <si>
    <t>[21]</t>
  </si>
  <si>
    <t>[22]</t>
  </si>
  <si>
    <t>[23]</t>
  </si>
  <si>
    <t>[8]=[6]*[7]</t>
  </si>
  <si>
    <t>[11a]</t>
  </si>
  <si>
    <t>[11b]</t>
  </si>
  <si>
    <t>[7]=[5]*[6]</t>
  </si>
  <si>
    <t>TC</t>
  </si>
  <si>
    <t>Cộng</t>
  </si>
  <si>
    <t>Hạng mục xây dựng</t>
  </si>
  <si>
    <t>Hạng mục thiết bị</t>
  </si>
  <si>
    <t>MÃ HIỆU ĐƠN GIÁ</t>
  </si>
  <si>
    <t>GIÁ TRỊ XÂY DỰNG TRƯỚC THUẾ</t>
  </si>
  <si>
    <t>GIÁ TRỊ XÂY DỰNG SAU THUẾ</t>
  </si>
  <si>
    <t>CHI PHÍ XÂY DỰNG NHÀ TẠM</t>
  </si>
  <si>
    <t>HẠNG MỤC</t>
  </si>
  <si>
    <t>GIÁ TRỊ LẮP ĐẶT THIẾT BỊ TRƯỚC THUẾ</t>
  </si>
  <si>
    <t>GIÁ TRỊ LẮP ĐẶT THIẾT BỊ SAU THUẾ</t>
  </si>
  <si>
    <t>ĐVT: đồng</t>
  </si>
  <si>
    <t>ĐVT: đồng/ca</t>
  </si>
  <si>
    <t>DỰ TOÁN LẮP ĐẶT THIẾT BỊ</t>
  </si>
  <si>
    <t>DỰ ÁN:</t>
  </si>
  <si>
    <t>PHỤ LỤC</t>
  </si>
  <si>
    <t xml:space="preserve">Kèm theo công văn số           /VKT/TTTT ngày       tháng       năm 2012 của </t>
  </si>
  <si>
    <t>Giá trị đề nghị</t>
  </si>
  <si>
    <t>Giá trị thẩm tra</t>
  </si>
  <si>
    <t>Tăng, giảm</t>
  </si>
  <si>
    <t>Nội dung chi phí</t>
  </si>
  <si>
    <t>KẾT QUẢ THẨM ĐỊNH / THẨM TRA DỰ TOÁN</t>
  </si>
  <si>
    <t>Dầu mazut</t>
  </si>
  <si>
    <t>Diezel</t>
  </si>
  <si>
    <t>Điện</t>
  </si>
  <si>
    <t>Xăng</t>
  </si>
  <si>
    <t>TỔNG HAO PHÍ NHIÊN LIỆU, NĂNG LƯỢNG</t>
  </si>
  <si>
    <t>ĐỊNH MỨC TIÊU HAO NHIÊN LIỆU, NĂNG LƯỢNG</t>
  </si>
  <si>
    <t>HAO PHÍ CA MÁY</t>
  </si>
  <si>
    <t>TÊN MÁY / THIẾT BỊ THI CÔNG</t>
  </si>
  <si>
    <t>Số thanh</t>
  </si>
  <si>
    <t>Chiều dài (m)</t>
  </si>
  <si>
    <t>ĐK (mm)</t>
  </si>
  <si>
    <t>TL (kg/m)</t>
  </si>
  <si>
    <t>kg/m3</t>
  </si>
  <si>
    <t>BẢNG THỐNG KÊ CỐT THÉP</t>
  </si>
  <si>
    <t>Tổng trọng lượng (kg)</t>
  </si>
  <si>
    <t>Tên cấu kiện</t>
  </si>
  <si>
    <t>Số hiệu thanh</t>
  </si>
  <si>
    <t>Hình dáng và kích thước</t>
  </si>
  <si>
    <t>1 cấu kiện</t>
  </si>
  <si>
    <t>Toàn bộ</t>
  </si>
  <si>
    <t>M1</t>
  </si>
  <si>
    <r>
      <t xml:space="preserve">Đ.kính
</t>
    </r>
    <r>
      <rPr>
        <b/>
        <sz val="11"/>
        <color theme="1"/>
        <rFont val="Times New Roman"/>
        <family val="1"/>
      </rPr>
      <t>Φ</t>
    </r>
    <r>
      <rPr>
        <b/>
        <sz val="11"/>
        <color theme="1"/>
        <rFont val="Calibri"/>
        <family val="2"/>
        <charset val="163"/>
      </rPr>
      <t xml:space="preserve"> (mm)</t>
    </r>
  </si>
  <si>
    <t>Bìa (bìa ngoài, bìa lót phần xây dựng)</t>
  </si>
  <si>
    <t>Bìa (bìa ngoài, bìa lót phần thiết bị)</t>
  </si>
  <si>
    <t>Bia1</t>
  </si>
  <si>
    <t>Bia2</t>
  </si>
  <si>
    <t>THGxd</t>
  </si>
  <si>
    <t>THGld</t>
  </si>
  <si>
    <t>Phụ lục dùng cho thẩm tra dự toán</t>
  </si>
  <si>
    <t>PLthamtra</t>
  </si>
  <si>
    <t>Bảng thống kê cốt thép</t>
  </si>
  <si>
    <t>Tổng hợp dự toán chi phí xây dựng các hạng mục</t>
  </si>
  <si>
    <t>Tổng hợp dự toán lắp đặt thiết bị các hạng mục</t>
  </si>
  <si>
    <t>VCLC XD</t>
  </si>
  <si>
    <t>Bảng tổng hợp vật tư xây dựng vận chuyển lên cao</t>
  </si>
  <si>
    <t>VCLC TB</t>
  </si>
  <si>
    <t>Bảng tiến độ thi công xây dựng</t>
  </si>
  <si>
    <t>TDTC XD</t>
  </si>
  <si>
    <t>TDLD TB</t>
  </si>
  <si>
    <t>Bảng tiến độ lắp đặt thiết bị</t>
  </si>
  <si>
    <t>Bảng tổng hợp hao phí nhiên liệu, năng lượng thi công xây dựng</t>
  </si>
  <si>
    <t>Bảng tổng hợp hao phí nhiên liệu, năng lượng lắp đặt thiết bị</t>
  </si>
  <si>
    <t>BẢNG TỔNG HỢP HAO PHÍ NHIÊN LIỆU, NĂNG LƯỢNG PHẦN THI CÔNG XÂY DỰNG</t>
  </si>
  <si>
    <t>BẢNG TỔNG HỢP HAO PHÍ NHIÊN LIỆU, NĂNG LƯỢNG PHẦN LẮP ĐẶT THIẾT BỊ</t>
  </si>
  <si>
    <t>NhienlieuXD</t>
  </si>
  <si>
    <t>Nhienlieutb</t>
  </si>
  <si>
    <t>TÊN VẬT LIỆU</t>
  </si>
  <si>
    <t>GIÁ THỰC TẾ</t>
  </si>
  <si>
    <t>Xem thêm Thông tư số 17/2000/TT-BXD của Bộ Xây dựng.</t>
  </si>
  <si>
    <t>GIÁ QUY VỀ</t>
  </si>
  <si>
    <t>Giá trị chênh lệch được tính vào sau giá trị dự toán xây dựng trước thuế trong bảng tổng hợp dự toán chi phí xây dựng (chèn thêm 1 dòng).</t>
  </si>
  <si>
    <t>BẢNG GIÁ TRỊ CHÊNH LỆCH VẬT LIỆU TÍNH VÀO SAU CHI PHÍ XÂY DỰNG TRƯỚC THUẾ</t>
  </si>
  <si>
    <t>BẢNG GIÁ TRỊ CHÊNH LỆCH VẬT LIỆU TÍNH VÀO SAU CHI PHÍ LẮP ĐẶT THIẾT BỊ TRƯỚC THUẾ</t>
  </si>
  <si>
    <t>VLSG XD</t>
  </si>
  <si>
    <t>Bảng giá trị chênh lệch vật liệu tính vào sau chi phí xây dựng trước thuế</t>
  </si>
  <si>
    <t>VLSG TB</t>
  </si>
  <si>
    <t>Bảng giá trị chênh lệch vật liệu tính vào sau chi phí lắp đặt thiết bị trước thuế</t>
  </si>
  <si>
    <t>ĐỊA CHỈ TRÊN MẠNG</t>
  </si>
  <si>
    <t>Tkthep</t>
  </si>
  <si>
    <t>Bảng TH&amp;CLVT và bảng ĐGCT</t>
  </si>
  <si>
    <t>Chi phí chung (Thông tư 04/2010)</t>
  </si>
  <si>
    <t>Chi phí trực tiếp/Chi phí nhân công(1: Giá trị được chọn; 0: giá trị bỏ chọn)</t>
  </si>
  <si>
    <t>Tổng hợp dự toán theo dạng bảng</t>
  </si>
  <si>
    <t>C:\Du toan GXD\Dulieu</t>
  </si>
  <si>
    <t>Trạng thái (1-Kích hoạt; 0 - Không kích hoạt)</t>
  </si>
  <si>
    <t>Tải cơ sở dữ liệu CSV</t>
  </si>
  <si>
    <t>MỤC LỤC</t>
  </si>
  <si>
    <t>Hiển thị trang tin khi khởi động</t>
  </si>
  <si>
    <t>TRÊN T</t>
  </si>
  <si>
    <t>Trên NC</t>
  </si>
  <si>
    <t xml:space="preserve">CP CHUNG (C) </t>
  </si>
  <si>
    <t>TNCTTT (TL)</t>
  </si>
  <si>
    <t>CÁC TÙY CHỌN</t>
  </si>
  <si>
    <t>Phân tích đơn giá khảo sát</t>
  </si>
  <si>
    <t>Mã vữa</t>
  </si>
  <si>
    <t>V10875</t>
  </si>
  <si>
    <t>MÃ HiỆU ĐỊNH MỨC</t>
  </si>
  <si>
    <t>Tùy chọn kết xuất dữ liệu</t>
  </si>
  <si>
    <t>Chi phí lập PA, báo cáo KS (BC)</t>
  </si>
  <si>
    <t>BẢNG TỶ TRỌNG CHI PHÍ</t>
  </si>
  <si>
    <t>NỘI DUNG</t>
  </si>
  <si>
    <r>
      <t>Vốn đầu tư xây dựng công trình (G</t>
    </r>
    <r>
      <rPr>
        <b/>
        <vertAlign val="subscript"/>
        <sz val="11"/>
        <color indexed="8"/>
        <rFont val="Times New Roman"/>
        <family val="1"/>
      </rPr>
      <t>XDCT</t>
    </r>
    <r>
      <rPr>
        <b/>
        <sz val="11"/>
        <color indexed="8"/>
        <rFont val="Times New Roman"/>
        <family val="1"/>
      </rPr>
      <t>)</t>
    </r>
  </si>
  <si>
    <r>
      <t>Chi phí xây dựng (G</t>
    </r>
    <r>
      <rPr>
        <vertAlign val="subscript"/>
        <sz val="11"/>
        <color indexed="8"/>
        <rFont val="Times New Roman"/>
        <family val="1"/>
      </rPr>
      <t>XD</t>
    </r>
    <r>
      <rPr>
        <sz val="11"/>
        <color indexed="8"/>
        <rFont val="Times New Roman"/>
        <family val="1"/>
      </rPr>
      <t>)</t>
    </r>
  </si>
  <si>
    <r>
      <t>Chi phí thiết bị (G</t>
    </r>
    <r>
      <rPr>
        <vertAlign val="subscript"/>
        <sz val="11"/>
        <color indexed="8"/>
        <rFont val="Times New Roman"/>
        <family val="1"/>
      </rPr>
      <t>TB</t>
    </r>
    <r>
      <rPr>
        <sz val="11"/>
        <color indexed="8"/>
        <rFont val="Times New Roman"/>
        <family val="1"/>
      </rPr>
      <t>)</t>
    </r>
  </si>
  <si>
    <t xml:space="preserve"> +  Chi phí mua sắm thiết bị (Gmstb)</t>
  </si>
  <si>
    <t xml:space="preserve"> +  Chi phí đào tạo và chuyển giao công nghệ (Gdtcg)</t>
  </si>
  <si>
    <t xml:space="preserve"> +  Chi phí lắp đặt thiết bị và thí nghiệm, hiệu chỉnh (Gld)</t>
  </si>
  <si>
    <r>
      <t>Chi phí khác (G</t>
    </r>
    <r>
      <rPr>
        <vertAlign val="subscript"/>
        <sz val="11"/>
        <color indexed="8"/>
        <rFont val="Times New Roman"/>
        <family val="1"/>
      </rPr>
      <t>CPK</t>
    </r>
    <r>
      <rPr>
        <sz val="11"/>
        <color indexed="8"/>
        <rFont val="Times New Roman"/>
        <family val="1"/>
      </rPr>
      <t>)</t>
    </r>
  </si>
  <si>
    <t xml:space="preserve"> +  Chi phí khảo sát xây dựng</t>
  </si>
  <si>
    <t xml:space="preserve"> +  Chi phí thiết kế công trình</t>
  </si>
  <si>
    <t xml:space="preserve"> +  Chi phí quản lý dự án</t>
  </si>
  <si>
    <t>Các tỷ trọng chi phí theo cơ cấu chi phí và yếu tố chi phí</t>
  </si>
  <si>
    <r>
      <t>Tỷ trọng chi phí xây dựng (P</t>
    </r>
    <r>
      <rPr>
        <vertAlign val="subscript"/>
        <sz val="11"/>
        <color indexed="8"/>
        <rFont val="Times New Roman"/>
        <family val="1"/>
      </rPr>
      <t>XD</t>
    </r>
    <r>
      <rPr>
        <sz val="11"/>
        <color indexed="8"/>
        <rFont val="Times New Roman"/>
        <family val="1"/>
      </rPr>
      <t>)</t>
    </r>
  </si>
  <si>
    <r>
      <t>Tỷ trọng chi phí thiết bị (P</t>
    </r>
    <r>
      <rPr>
        <vertAlign val="subscript"/>
        <sz val="11"/>
        <color indexed="8"/>
        <rFont val="Times New Roman"/>
        <family val="1"/>
      </rPr>
      <t>TB</t>
    </r>
    <r>
      <rPr>
        <sz val="11"/>
        <color indexed="8"/>
        <rFont val="Times New Roman"/>
        <family val="1"/>
      </rPr>
      <t>)</t>
    </r>
  </si>
  <si>
    <t>Trong đó:</t>
  </si>
  <si>
    <t xml:space="preserve"> +  Tỷ trọng chi phí mua sắm thiết bị  (Gmstb)</t>
  </si>
  <si>
    <t xml:space="preserve"> +  Tỷ trọng chi phí đào tạo và chuyển giao công nghệ (Gdtcg)</t>
  </si>
  <si>
    <t xml:space="preserve"> +  Tỷ trọng chi phí lắp đặt thiết bị và thí nghiệm, hiệu chỉnh (Gld)</t>
  </si>
  <si>
    <r>
      <t>Tỷ trọng chi phí khác (P</t>
    </r>
    <r>
      <rPr>
        <vertAlign val="subscript"/>
        <sz val="11"/>
        <color indexed="8"/>
        <rFont val="Times New Roman"/>
        <family val="1"/>
      </rPr>
      <t>CPK</t>
    </r>
    <r>
      <rPr>
        <sz val="11"/>
        <color indexed="8"/>
        <rFont val="Times New Roman"/>
        <family val="1"/>
      </rPr>
      <t>)</t>
    </r>
  </si>
  <si>
    <t xml:space="preserve"> +  Tỷ trọng chi phí khảo sát xây dựng:</t>
  </si>
  <si>
    <t xml:space="preserve"> +  Tỷ trọng chi phí thiết kế công trình:</t>
  </si>
  <si>
    <t xml:space="preserve"> +  Tỷ trọng chi phí quản lý dự án: </t>
  </si>
  <si>
    <t>BẢNG SỐ LIỆU ĐIỀU CHỈNH HỢP ĐỒNG</t>
  </si>
  <si>
    <t xml:space="preserve"> - Các yếu tố điều chỉnh</t>
  </si>
  <si>
    <t xml:space="preserve"> + Chí phí vật liệu (VL)</t>
  </si>
  <si>
    <t xml:space="preserve"> + Chí phí nhân công (NC)</t>
  </si>
  <si>
    <t xml:space="preserve"> + Chí phí máy thi công (MTC)</t>
  </si>
  <si>
    <t xml:space="preserve"> + Tỷ lệ tạm ứng  của nhà đầu tư (u)</t>
  </si>
  <si>
    <t xml:space="preserve"> + Giá hợp đồng (G)</t>
  </si>
  <si>
    <t xml:space="preserve"> + Chi phí điều chỉnh (T)</t>
  </si>
  <si>
    <t>Trường hợp tổng quát</t>
  </si>
  <si>
    <t>HỆ SỐ CỐ ĐỊNH 
a(%)</t>
  </si>
  <si>
    <t>TỶ TRỌNG NHÂN CÔNG
b(%)</t>
  </si>
  <si>
    <t>TỶ TRỌNG MÁY
c(%)</t>
  </si>
  <si>
    <t>TỶ TRỌNG VẬT LiỆU
d(%)</t>
  </si>
  <si>
    <t>a=1-(b+c+d)</t>
  </si>
  <si>
    <t>b=NC/G</t>
  </si>
  <si>
    <t>c=MTC/G</t>
  </si>
  <si>
    <t>d=VL/G</t>
  </si>
  <si>
    <t>Trường hợp xét đến tỷ lệ tạm ứng hợp đồng của Chủ đầu tư cho nhà thầu</t>
  </si>
  <si>
    <t>a=1-T/G*(1-u)</t>
  </si>
  <si>
    <t>b=NC/T*(1-a)</t>
  </si>
  <si>
    <t>c=MTC/T*(1-a)</t>
  </si>
  <si>
    <t>d=VL/T*(1-a)</t>
  </si>
  <si>
    <t>Trường hợp xác định trước hệ số cố định</t>
  </si>
  <si>
    <t>BẢNG GIÁ TRỊ VẬT TƯ</t>
  </si>
  <si>
    <t>Đơn vị tính: VND</t>
  </si>
  <si>
    <t>TỶ TRỌNG CHI PHÍ VL, NC, MTC CT1</t>
  </si>
  <si>
    <t>TỶ TRỌNG CHI PHÍ LOẠI VL, NC, NHÓM MTC CHỦ YẾU CT1</t>
  </si>
  <si>
    <r>
      <t>G</t>
    </r>
    <r>
      <rPr>
        <vertAlign val="subscript"/>
        <sz val="12"/>
        <color rgb="FF0000CC"/>
        <rFont val="Times New Roman"/>
        <family val="1"/>
      </rPr>
      <t>DP</t>
    </r>
  </si>
  <si>
    <t>Chi phí chỗ ở tạm thời (Gnt)</t>
  </si>
  <si>
    <t>Chi phí chuyển quân, chuyển máy (Gdc)</t>
  </si>
  <si>
    <t>Giá thành khảo sát (Gks)</t>
  </si>
  <si>
    <t>Giá trị dự toán khảo sát trước thuế (G)</t>
  </si>
  <si>
    <t>Giá trị khảo sát sau thuế (GXD)</t>
  </si>
  <si>
    <t>Gpa</t>
  </si>
  <si>
    <t>Gbc</t>
  </si>
  <si>
    <t>Gnt</t>
  </si>
  <si>
    <t>Đổi nhóm nhân công toàn bộ</t>
  </si>
  <si>
    <t>Dữ liệu csv lập dự toán trên DutoanGXD.vn</t>
  </si>
  <si>
    <t>Diễn đàn DutoanGXD.vn</t>
  </si>
  <si>
    <t>Trang tin Giaxaydung.vn</t>
  </si>
  <si>
    <t>Cộng đồng sử dụng Dự toán GXD</t>
  </si>
  <si>
    <t>Siêu thị phần mềm xây dựng</t>
  </si>
  <si>
    <t>Trang Gxd.vn web và tìm kiếm văn bản</t>
  </si>
  <si>
    <t>Diễn đàn Giá Xây Dựng</t>
  </si>
  <si>
    <t>Thư viện thuvien.gxd.vn</t>
  </si>
  <si>
    <t>Thư viện diễn đàn</t>
  </si>
  <si>
    <t>Nối với bảng Đơn giá chi tiết</t>
  </si>
  <si>
    <t>Nối giá vật liệu từ bảng Giá vật liệu đến hiện trường</t>
  </si>
  <si>
    <t>Nối giá nhân công từ bảng Lương nhân công</t>
  </si>
  <si>
    <t>Nối giá ca máy từ bảng Giá ca máy</t>
  </si>
  <si>
    <t>Nối giá vật tư từ bảng Tổng hợp và Chênh lệch</t>
  </si>
  <si>
    <t>Nối giá vật tư từ bảng Giá trị vật tư</t>
  </si>
  <si>
    <t>Nối giá vữa từ bảng Phụ lục vữa</t>
  </si>
  <si>
    <t>Nối đơn giá với bảng Dự toán</t>
  </si>
  <si>
    <t>Nối với bảng Tổng hợp và chênh lệch</t>
  </si>
  <si>
    <t>Nối với bảng Giá trị vật tư</t>
  </si>
  <si>
    <r>
      <t xml:space="preserve">Chi phí xây dựng trước thuế </t>
    </r>
    <r>
      <rPr>
        <sz val="12"/>
        <rFont val="Times New Roman"/>
        <family val="1"/>
        <charset val="163"/>
      </rPr>
      <t>(G)</t>
    </r>
  </si>
  <si>
    <r>
      <t>Chi phí nhà tạm tại hiện trường để ở và điều hành thi công (G</t>
    </r>
    <r>
      <rPr>
        <vertAlign val="subscript"/>
        <sz val="12"/>
        <rFont val="Times New Roman"/>
        <family val="1"/>
        <charset val="163"/>
      </rPr>
      <t>XDNT</t>
    </r>
    <r>
      <rPr>
        <sz val="12"/>
        <rFont val="Times New Roman"/>
        <family val="1"/>
        <charset val="163"/>
      </rPr>
      <t>)</t>
    </r>
  </si>
  <si>
    <r>
      <t>Chi phí xây dựng sau thuế (G</t>
    </r>
    <r>
      <rPr>
        <vertAlign val="subscript"/>
        <sz val="12"/>
        <rFont val="Times New Roman"/>
        <family val="1"/>
        <charset val="163"/>
      </rPr>
      <t>XD</t>
    </r>
    <r>
      <rPr>
        <sz val="12"/>
        <rFont val="Times New Roman"/>
        <family val="1"/>
        <charset val="163"/>
      </rPr>
      <t>)</t>
    </r>
  </si>
  <si>
    <r>
      <t>Chi phí dự phòng (G</t>
    </r>
    <r>
      <rPr>
        <vertAlign val="subscript"/>
        <sz val="12"/>
        <rFont val="Times New Roman"/>
        <family val="1"/>
        <charset val="163"/>
      </rPr>
      <t>DP</t>
    </r>
    <r>
      <rPr>
        <sz val="12"/>
        <rFont val="Times New Roman"/>
        <family val="1"/>
        <charset val="163"/>
      </rPr>
      <t>)</t>
    </r>
  </si>
  <si>
    <t>Sử dụng phụ lục vữa</t>
  </si>
  <si>
    <t>Capduong.1s</t>
  </si>
  <si>
    <t>Capduong.2s</t>
  </si>
  <si>
    <t>Capduong.3s</t>
  </si>
  <si>
    <t>Capduong.4s</t>
  </si>
  <si>
    <r>
      <t>G</t>
    </r>
    <r>
      <rPr>
        <b/>
        <vertAlign val="subscript"/>
        <sz val="12"/>
        <rFont val="Times New Roman"/>
        <family val="1"/>
      </rPr>
      <t>NL</t>
    </r>
    <r>
      <rPr>
        <b/>
        <sz val="12"/>
        <rFont val="Times New Roman"/>
        <family val="1"/>
      </rPr>
      <t xml:space="preserve"> GCM ht:</t>
    </r>
  </si>
  <si>
    <t>HoChiMinh2006</t>
  </si>
  <si>
    <t>C:\Du toan GXD\Dulieu\HoChiMinh2006\CVC89.2000.csv</t>
  </si>
  <si>
    <t>C:\Du toan GXD\Dulieu\HoChiMinh2006\DGHoChiMinh2006.csv</t>
  </si>
  <si>
    <t>C:\Du toan GXD\Dulieu\HoChiMinh2006\DMHCM1776+1777+1779.csv</t>
  </si>
  <si>
    <t>C:\Du toan GXD\Dulieu\HoChiMinh2006\GCMHoChiMinh2006.csv</t>
  </si>
  <si>
    <t>C:\Du toan GXD\Dulieu\HoChiMinh2006\GVTHoChiMinh2006.csv</t>
  </si>
  <si>
    <t>C:\Du toan GXD\Dulieu\HoChiMinh2006\PLVHoChiMinh2006.csv</t>
  </si>
  <si>
    <t>C:\Du toan GXD\Dulieu\HoChiMinh2006\TDVTHoChiMinh2006.csv</t>
  </si>
  <si>
    <t>Ghi chú: Chèn thêm dòng vào bảng, chép công thức và nhập số liệu để tính trọng lượng thép.</t>
  </si>
  <si>
    <t>Tính Giá ca máy</t>
  </si>
  <si>
    <t>Phương pháp lập dự toán</t>
  </si>
  <si>
    <t xml:space="preserve"> - Bảng tổng hợp chi phí tư vấn liệt kê các khác đầu mục chi phí có thể có.</t>
  </si>
  <si>
    <t xml:space="preserve"> - Tùy vào điều kiện cụ thể của công trình bạn xóa bớt hoặc chèn thêm dòng để bổ sung các khoản chi phí cho phù hợp.</t>
  </si>
  <si>
    <t xml:space="preserve"> - Bảng tổng hợp chi phí khác liệt kê các khác đầu mục chi phí có thể có.</t>
  </si>
  <si>
    <t xml:space="preserve"> - Tùy vào điều kiện cụ thể của công trình bạn xóa bớt hoặc chèn thêm dòng để bổ sung thêm các khoản chi phí cho phù hợp.</t>
  </si>
  <si>
    <t xml:space="preserve"> - Bảng Tổng hợp chi phí khác trên được kê ra các khoản mục chi phí bao gồm cả việc xác định trong TMĐT, khi lập dự toán hay tổng dự toán phải lược bỏ các khoản chi phí cho phù hợp.</t>
  </si>
  <si>
    <t>BA.13302</t>
  </si>
  <si>
    <t>L¾p ®Æt ®Ìn èng 1,2m - 2 bãng</t>
  </si>
  <si>
    <t>bé</t>
  </si>
  <si>
    <t>BA.13301</t>
  </si>
  <si>
    <t>L¾p ®Æt ®Ìn èng 1,2m - 1 bãng</t>
  </si>
  <si>
    <t>BA.13605</t>
  </si>
  <si>
    <t>L¾p ®Æt ®Ìn trang trÝ èp trÇn</t>
  </si>
  <si>
    <t>BA.13503</t>
  </si>
  <si>
    <t>L¾p ®Æt ®Ìn chïm trang trÝ phßng kh¸ch</t>
  </si>
  <si>
    <t>BA.13602</t>
  </si>
  <si>
    <t>L¾p ®Æt ®Ìn tranh 11W</t>
  </si>
  <si>
    <t>§Ìn c©y trang trÝ</t>
  </si>
  <si>
    <t>BA.13601</t>
  </si>
  <si>
    <t>L¾p ®Æt ®Ìn t­êng kiÓu ¸nh s¸ng h¾t</t>
  </si>
  <si>
    <t>BA.13604</t>
  </si>
  <si>
    <t>L¾p ®Æt ®Ìn trang trÝ næi (®Ìn treo th¶ lÖch t©m).</t>
  </si>
  <si>
    <t>L¾p ®Æt ®Ìn trang trÝ ©m trÇn (¸nh s¸ng mê).</t>
  </si>
  <si>
    <t>L¾p ®Æt ®Ìn trang trÝ ©m trÇn (¸nh s¸ng tr¾ng).</t>
  </si>
  <si>
    <t>L¾p ®Æt ®Ìn trang trÝ næi (®Ìn èp cÇu thang)</t>
  </si>
  <si>
    <t>§Ìn bµn trang trÝ.</t>
  </si>
  <si>
    <t>Bé hót mïi ë bÕp.</t>
  </si>
  <si>
    <t>L¾p ®Æt ®Ìn trang trÝ næi (®Ìn cæng).</t>
  </si>
  <si>
    <t>BA.13102</t>
  </si>
  <si>
    <t>L¾p ®Æt ®Ìn s¸t trÇn cã chôp (èp trÇn hiªn 60 w)</t>
  </si>
  <si>
    <t>L¾p ®Æt ®Ìn trang trÝ næi (®Ìn n÷ hoµng).</t>
  </si>
  <si>
    <t>BA.18304</t>
  </si>
  <si>
    <t>L¾p ®Æt c«ng t¾c (c«ng t¸c 2 chiÒu).</t>
  </si>
  <si>
    <t>c¸i</t>
  </si>
  <si>
    <t>BA.18101</t>
  </si>
  <si>
    <t>L¾p ®Æt c«ng t¾c 1 h¹t (chengli)</t>
  </si>
  <si>
    <t>BA.18102</t>
  </si>
  <si>
    <t>L¾p ®Æt c«ng t¾c 2 h¹t (chengli)</t>
  </si>
  <si>
    <t>BA.18103</t>
  </si>
  <si>
    <t>L¾p ®Æt c«ng t¾c 3 h¹t (chengli)</t>
  </si>
  <si>
    <t>BA.18104</t>
  </si>
  <si>
    <t>L¾p ®Æt c«ng t¾c 4 h¹t (chengli)</t>
  </si>
  <si>
    <t>BA.18302</t>
  </si>
  <si>
    <t>L¾p ®Æt c«ng t¾c lo¹i æ c¾m ®«i 1 pha 3 chÊu -©m t­êng.</t>
  </si>
  <si>
    <t>BA.15413</t>
  </si>
  <si>
    <t>L¾p ®Æt hép nèi, hép ph©n d©y, hép c«ng t¾c, hép cÇu ch×, hép automat kÝch th­íc 360x250x99.</t>
  </si>
  <si>
    <t>§iÒu hoµ nhiÖt ®é 9000BTU</t>
  </si>
  <si>
    <t xml:space="preserve"> c¸i</t>
  </si>
  <si>
    <t>BB.42101</t>
  </si>
  <si>
    <t>L¾p ®Æt thïng ®un n­íc nãng</t>
  </si>
  <si>
    <t>BA.19201</t>
  </si>
  <si>
    <t>L¾p ®Æt aptomat 1P-16A (Vanlock)</t>
  </si>
  <si>
    <t>BA.19203</t>
  </si>
  <si>
    <t>L¾p ®Æt aptomat 2P-80A (Hager).</t>
  </si>
  <si>
    <t>BA.19202</t>
  </si>
  <si>
    <t>L¾p ®Æt aptomat 2P-50A (Vanlock)</t>
  </si>
  <si>
    <t>L¾p ®Æt aptomat 2P-25A (Vanlock)</t>
  </si>
  <si>
    <t>L¾p ®Æt aptomat 2P-20A (Vanlock).</t>
  </si>
  <si>
    <t>L¾p ®Æt aptomat 2P-16A (Vanlock).</t>
  </si>
  <si>
    <t>BA.16210</t>
  </si>
  <si>
    <t>L¾p ®Æt d©y dÉn 2 ruét 2x16mm2 CU/XLPE/PVC</t>
  </si>
  <si>
    <t>m</t>
  </si>
  <si>
    <t>BA.16209</t>
  </si>
  <si>
    <t xml:space="preserve">L¾p ®Æt d©y dÉn 2 ruét 2x10mm2 </t>
  </si>
  <si>
    <t>BA.16206</t>
  </si>
  <si>
    <t>L¾p ®Æt d©y dÉn 2 ruét 2x4mm2</t>
  </si>
  <si>
    <t>BA.16205</t>
  </si>
  <si>
    <t>L¾p ®Æt d©y dÉn 2 ruét 2x2,5mm2</t>
  </si>
  <si>
    <t>BA.16204</t>
  </si>
  <si>
    <t>L¾p ®Æt d©y dÉn 2 ruét 2x1,5mm2</t>
  </si>
  <si>
    <t>BA.16113</t>
  </si>
  <si>
    <t>L¾p ®Æt d©y ®¬n 1x10mm2</t>
  </si>
  <si>
    <t>BA.16111</t>
  </si>
  <si>
    <t>L¾p ®Æt d©y ®¬n 1x4mm2</t>
  </si>
  <si>
    <t>BA.16107</t>
  </si>
  <si>
    <t>L¾p ®Æt d©y ®¬n 1x1,5mm2</t>
  </si>
  <si>
    <t>BA.14301</t>
  </si>
  <si>
    <t>L¾p næi èng nhùa b¶o hé d©y dÉn ®k 16mm</t>
  </si>
  <si>
    <t>BA.14302</t>
  </si>
  <si>
    <t xml:space="preserve">L¾p næi èng nhùa b¶o hé d©y dÉn ®k 21mm </t>
  </si>
  <si>
    <t>BA.14303</t>
  </si>
  <si>
    <t>L¾p næi èng nhùa b¶o hé d©y dÉn ®k 32mm</t>
  </si>
  <si>
    <t xml:space="preserve">L¾p næi èng nhùa b¶o hé d©y dÉn ®k 34mm </t>
  </si>
  <si>
    <t>BA.15406</t>
  </si>
  <si>
    <t>L¾p ®Æt hép nèi, hép ph©n d©y, hép c«ng t¾c, hép cÇu ch×, hép automat kÝch th­íc &lt;= 100x100mm</t>
  </si>
  <si>
    <t>BA.20101</t>
  </si>
  <si>
    <t>Gia c«ng vµ ®ãng cäc chèng sÐt</t>
  </si>
  <si>
    <t>Cäc chèng sÐt, 2,5m/cäc</t>
  </si>
  <si>
    <t>kg</t>
  </si>
  <si>
    <t>BA.20502</t>
  </si>
  <si>
    <t>L¾p ®Æt kim thu sÐt chiÒu dµi 1m</t>
  </si>
  <si>
    <t>BA.20402</t>
  </si>
  <si>
    <t>Gia c«ng kim thu sÐt chiÒu dµi 1m</t>
  </si>
  <si>
    <t xml:space="preserve">BËt liªn kÕt. </t>
  </si>
  <si>
    <t>D©y tho¸t sÐt.</t>
  </si>
  <si>
    <t>PhÇn n­íc</t>
  </si>
  <si>
    <t>BB.14302</t>
  </si>
  <si>
    <t>L¾p ®Æt èng thÐp tr¸ng kÏm ®­êng kÝnh 32mm b»ng m¨ng s«ng, ®o¹n èng dµi 8m</t>
  </si>
  <si>
    <t>100m</t>
  </si>
  <si>
    <t>BB.14301</t>
  </si>
  <si>
    <t>L¾p ®Æt èng thÐp tr¸ng kÏm ®­êng kÝnh 25mm b»ng m¨ng s«ng, ®o¹n èng dµi 8m</t>
  </si>
  <si>
    <t>BB.14202</t>
  </si>
  <si>
    <t>L¾p ®Æt èng thÐp kh«ng rØ ®­êng kÝnh 20mm b»ng ph­¬ng ph¸p hµn, ®o¹n èng dµi 6m</t>
  </si>
  <si>
    <t>BB.14201</t>
  </si>
  <si>
    <t>L¾p ®Æt èng thÐp kh«ng rØ ®­êng kÝnh 15mm b»ng ph­¬ng ph¸p hµn, ®o¹n èng dµi 6m</t>
  </si>
  <si>
    <t>BB.24144</t>
  </si>
  <si>
    <t>L¾p ®Æt cót thÐp ®­êng kÝnh 32mm b»ng ph­¬ng ph¸p hµn</t>
  </si>
  <si>
    <t>BB.24143</t>
  </si>
  <si>
    <t>L¾p ®Æt cót thÐp ®­êng kÝnh 25mm b»ng ph­¬ng ph¸p hµn</t>
  </si>
  <si>
    <t>BB.24142</t>
  </si>
  <si>
    <t>L¾p ®Æt cót thÐp ®­êng kÝnh 20mm b»ng ph­¬ng ph¸p hµn</t>
  </si>
  <si>
    <t>BB.24141</t>
  </si>
  <si>
    <t>L¾p ®Æt cót thÐp ®­êng kÝnh 15mm b»ng ph­¬ng ph¸p hµn</t>
  </si>
  <si>
    <t>BB.36101</t>
  </si>
  <si>
    <t>L¾p ®Æt van mÆt bÝch ®­êng kÝnh 40mm</t>
  </si>
  <si>
    <t>BB.36301</t>
  </si>
  <si>
    <t>L¾p ®Æt van phao ®iÒu chØnh tèc ®é läc ®­êng kÝnh 25mm</t>
  </si>
  <si>
    <t>BB.36501</t>
  </si>
  <si>
    <t>L¾p ®Æt van ®iÖn ®­êng kÝnh 25mm</t>
  </si>
  <si>
    <t>BB.24104</t>
  </si>
  <si>
    <t>L¾p ®Æt c«n thÐp ®­êng kÝnh 32mm b»ng ph­¬ng ph¸p hµn</t>
  </si>
  <si>
    <t>BB.24103</t>
  </si>
  <si>
    <t>L¾p ®Æt c«n thÐp ®­êng kÝnh 25mm b»ng ph­¬ng ph¸p hµn</t>
  </si>
  <si>
    <t>BB.19309</t>
  </si>
  <si>
    <t>L¾p ®Æt èng nhùa PVC ®k 110mm b»ng ph­¬ng ph¸p hµn, ®o¹n èng dµi 6m</t>
  </si>
  <si>
    <t>L¾p ®Æt èng nhùa PVC ®k 90mm b»ng ph­¬ng ph¸p hµn, ®o¹n èng dµi 6m</t>
  </si>
  <si>
    <t>BB.19307</t>
  </si>
  <si>
    <t>L¾p ®Æt èng nhùa PVC ®k 76mm b»ng ph­¬ng ph¸p hµn, ®o¹n èng dµi 6m</t>
  </si>
  <si>
    <t>BB.19306</t>
  </si>
  <si>
    <t>L¾p ®Æt èng nhùa PVC ®k 60mm b»ng ph­¬ng ph¸p hµn, ®o¹n èng dµi 6m</t>
  </si>
  <si>
    <t>BB.19304</t>
  </si>
  <si>
    <t>L¾p ®Æt èng nhùa PVC ®k 42mm b»ng ph­¬ng ph¸p hµn, ®o¹n èng dµi 6m</t>
  </si>
  <si>
    <t>BB.29229</t>
  </si>
  <si>
    <t>L¾p ®Æt cót nhùa PVC ®k 110mm b»ng ph­¬ng ph¸p hµn</t>
  </si>
  <si>
    <t>L¾p ®Æt cót nhùa PVC ®k 90 mm b»ng ph­¬ng ph¸p hµn</t>
  </si>
  <si>
    <t>BB.29226</t>
  </si>
  <si>
    <t>L¾p ®Æt cót nhùa PVC ®k 60mm b»ng ph­¬ng ph¸p hµn</t>
  </si>
  <si>
    <t>BB.29224</t>
  </si>
  <si>
    <t>L¾p ®Æt cót nhùa PVC ®k 42mm b»ng ph­¬ng ph¸p hµn</t>
  </si>
  <si>
    <t>L¾p ®Æt chÕch nhùa PVC ®k 110mm b»ng ph­¬ng ph¸p hµn</t>
  </si>
  <si>
    <t>BB.29209</t>
  </si>
  <si>
    <t>L¾p ®Æt c«n nhùa PVC ®k 90mm b»ng ph­¬ng ph¸p hµn</t>
  </si>
  <si>
    <t>BB.29206</t>
  </si>
  <si>
    <t>L¾p ®Æt c«n nhùa PVC ®k 60mm b»ng ph­¬ng ph¸p hµn</t>
  </si>
  <si>
    <t>BB.42201</t>
  </si>
  <si>
    <t>L¾p ®Æt phÔu thu D50</t>
  </si>
  <si>
    <t>Tho¸t sµn D76</t>
  </si>
  <si>
    <t>Häng th«ng t¾c</t>
  </si>
  <si>
    <t>BB.41201</t>
  </si>
  <si>
    <t>L¾p ®Æt chËu xÝ bÖt inax</t>
  </si>
  <si>
    <t>BB.41102</t>
  </si>
  <si>
    <t>L¾p ®Æt chËu röa 2 vßi, lavabo inax</t>
  </si>
  <si>
    <t>BB.41501</t>
  </si>
  <si>
    <t>L¾p ®Æt vßi röa 1 vßi, vßi lavabo inax</t>
  </si>
  <si>
    <t>BB.41401</t>
  </si>
  <si>
    <t>L¾p ®Æt vßi t¾m 1 vßi + 1 h­¬ng sen</t>
  </si>
  <si>
    <t>BB.41104</t>
  </si>
  <si>
    <t>L¾p ®Æt thuyÒn t¾m kh«ng cã h­¬ng sen</t>
  </si>
  <si>
    <t>B×nh ®un n­íc nãng nhanh</t>
  </si>
  <si>
    <t>L¾p ®Æt chËu röa 2 vßi</t>
  </si>
  <si>
    <t>KÐt n­íc inox 3000l</t>
  </si>
  <si>
    <t>BB.42501</t>
  </si>
  <si>
    <t>L¾p ®Æt vßi röa vÖ sinh</t>
  </si>
  <si>
    <t>M¸y b¬m n­íc, Q=4m3/h, h=25m</t>
  </si>
  <si>
    <t>bộ</t>
  </si>
  <si>
    <t>cái</t>
  </si>
  <si>
    <t>hộp</t>
  </si>
  <si>
    <t>cọc</t>
  </si>
  <si>
    <t>BB.24104a</t>
  </si>
  <si>
    <t>BB.24103a</t>
  </si>
  <si>
    <t>BB.24102a</t>
  </si>
  <si>
    <t>BB.24101a</t>
  </si>
  <si>
    <t>PhÇn ®iÖn</t>
  </si>
  <si>
    <t>NHÀ BIỆT THỰ GXD</t>
  </si>
  <si>
    <t>ĐỔI BẢNG MÃ FONT RẤT ĐƠN GIẢN TRONG DỰ TOÁN GXD</t>
  </si>
  <si>
    <t>CÔNG TY GIÁ XÂY DỰNG</t>
  </si>
  <si>
    <t>SỐ 2A, NGÕ 55, NGUYỄN NGỌC NẠI, THANH XUÂN, HÀ NỘI</t>
  </si>
</sst>
</file>

<file path=xl/styles.xml><?xml version="1.0" encoding="utf-8"?>
<styleSheet xmlns="http://schemas.openxmlformats.org/spreadsheetml/2006/main">
  <numFmts count="60">
    <numFmt numFmtId="43" formatCode="_(* #,##0.00_);_(* \(#,##0.00\);_(* &quot;-&quot;??_);_(@_)"/>
    <numFmt numFmtId="164" formatCode="#,##0.000"/>
    <numFmt numFmtId="165" formatCode="#,##0.0"/>
    <numFmt numFmtId="166" formatCode="dd"/>
    <numFmt numFmtId="167" formatCode="mm"/>
    <numFmt numFmtId="168" formatCode="yyyy"/>
    <numFmt numFmtId="169" formatCode="#,##0&quot;®&quot;;\-#,##0&quot;®&quot;"/>
    <numFmt numFmtId="170" formatCode="#,##0&quot;®&quot;_);\(#,##0&quot;®&quot;\)"/>
    <numFmt numFmtId="171" formatCode=";;;"/>
    <numFmt numFmtId="172" formatCode="0.0%"/>
    <numFmt numFmtId="173" formatCode="0.0"/>
    <numFmt numFmtId="174" formatCode="0.0&quot;%&quot;"/>
    <numFmt numFmtId="175" formatCode="0,000&quot; đ/tháng&quot;"/>
    <numFmt numFmtId="176" formatCode="0.000%"/>
    <numFmt numFmtId="177" formatCode="#,##0&quot; đồng&quot;"/>
    <numFmt numFmtId="178" formatCode="&quot;&lt;=&quot;0"/>
    <numFmt numFmtId="179" formatCode="0,000"/>
    <numFmt numFmtId="180" formatCode="#.##0"/>
    <numFmt numFmtId="181" formatCode="0.000"/>
    <numFmt numFmtId="182" formatCode="#,##0.0000"/>
    <numFmt numFmtId="183" formatCode="&quot;&gt;=&quot;0"/>
    <numFmt numFmtId="184" formatCode="#,###"/>
    <numFmt numFmtId="185" formatCode="#,##0.00000"/>
    <numFmt numFmtId="186" formatCode="0%&quot; LCB&quot;"/>
    <numFmt numFmtId="187" formatCode="_([$VND]\ * #,##0_);_([$VND]\ * \(#,##0\);_([$VND]\ * &quot;-&quot;_);_(@_)"/>
    <numFmt numFmtId="188" formatCode="0%&quot; LTTC&quot;"/>
    <numFmt numFmtId="189" formatCode="_(* #,##0_);_(* \(#,##0\);_(* &quot;-&quot;??_);_(@_)"/>
    <numFmt numFmtId="190" formatCode="#,##0\ &quot;F&quot;;\-#,##0\ &quot;F&quot;"/>
    <numFmt numFmtId="191" formatCode="&quot;\&quot;#,##0;[Red]&quot;\&quot;&quot;\&quot;\-#,##0"/>
    <numFmt numFmtId="192" formatCode="_-* #,##0_-;\-* #,##0_-;_-* &quot;-&quot;_-;_-@_-"/>
    <numFmt numFmtId="193" formatCode="0.000000000"/>
    <numFmt numFmtId="194" formatCode="_ * #,##0_ ;_ * \-#,##0_ ;_ * &quot;-&quot;_ ;_ @_ "/>
    <numFmt numFmtId="195" formatCode="0.0000%"/>
    <numFmt numFmtId="196" formatCode="_ * #,##0.00_ ;_ * \-#,##0.00_ ;_ * &quot;-&quot;??_ ;_ @_ "/>
    <numFmt numFmtId="197" formatCode="#,##0;\(#,##0\)"/>
    <numFmt numFmtId="198" formatCode="\$#,##0\ ;\(\$#,##0\)"/>
    <numFmt numFmtId="199" formatCode="\t0.00%"/>
    <numFmt numFmtId="200" formatCode="_-* #,##0\ _D_M_-;\-* #,##0\ _D_M_-;_-* &quot;-&quot;\ _D_M_-;_-@_-"/>
    <numFmt numFmtId="201" formatCode="_-* #,##0.00\ _D_M_-;\-* #,##0.00\ _D_M_-;_-* &quot;-&quot;??\ _D_M_-;_-@_-"/>
    <numFmt numFmtId="202" formatCode="\t#\ ??/??"/>
    <numFmt numFmtId="203" formatCode="#."/>
    <numFmt numFmtId="204" formatCode="#,##0\ &quot;$&quot;_);[Red]\(#,##0\ &quot;$&quot;\)"/>
    <numFmt numFmtId="205" formatCode="&quot;$&quot;###,0&quot;.&quot;00_);[Red]\(&quot;$&quot;###,0&quot;.&quot;00\)"/>
    <numFmt numFmtId="206" formatCode="m/d"/>
    <numFmt numFmtId="207" formatCode="&quot;ß&quot;#,##0;\-&quot;&quot;\ß&quot;&quot;#,##0"/>
    <numFmt numFmtId="208" formatCode="0.00_)"/>
    <numFmt numFmtId="209" formatCode="_-* #,##0.00_-;\-* #,##0.00_-;_-* &quot;-&quot;??_-;_-@_-"/>
    <numFmt numFmtId="210" formatCode="_-* #,##0.0\ _F_-;\-* #,##0.0\ _F_-;_-* &quot;-&quot;??\ _F_-;_-@_-"/>
    <numFmt numFmtId="211" formatCode="_-* #,##0\ _F_-;\-* #,##0\ _F_-;_-* &quot;-&quot;\ _F_-;_-@_-"/>
    <numFmt numFmtId="212" formatCode="#,###,###.00"/>
    <numFmt numFmtId="213" formatCode="#,###,###,###.00"/>
    <numFmt numFmtId="214" formatCode="_-* #,##0\ &quot;DM&quot;_-;\-* #,##0\ &quot;DM&quot;_-;_-* &quot;-&quot;\ &quot;DM&quot;_-;_-@_-"/>
    <numFmt numFmtId="215" formatCode="_-* #,##0.00\ &quot;DM&quot;_-;\-* #,##0.00\ &quot;DM&quot;_-;_-* &quot;-&quot;??\ &quot;DM&quot;_-;_-@_-"/>
    <numFmt numFmtId="216" formatCode="&quot;$&quot;#,##0"/>
    <numFmt numFmtId="217" formatCode="#,##0.0;[Red]#,##0.0"/>
    <numFmt numFmtId="218" formatCode="_-&quot;$&quot;* #,##0_-;\-&quot;$&quot;* #,##0_-;_-&quot;$&quot;* &quot;-&quot;_-;_-@_-"/>
    <numFmt numFmtId="219" formatCode="_-&quot;$&quot;* #,##0.00_-;\-&quot;$&quot;* #,##0.00_-;_-&quot;$&quot;* &quot;-&quot;??_-;_-@_-"/>
    <numFmt numFmtId="220" formatCode="0\ &quot;CK&quot;"/>
    <numFmt numFmtId="221" formatCode="&quot;&lt;=&quot;0&quot;mm&quot;"/>
    <numFmt numFmtId="222" formatCode="&quot; &gt;&quot;0&quot;mm&quot;"/>
  </numFmts>
  <fonts count="223">
    <font>
      <sz val="11"/>
      <color theme="1"/>
      <name val="Calibri"/>
      <family val="2"/>
      <charset val="163"/>
      <scheme val="minor"/>
    </font>
    <font>
      <b/>
      <sz val="11"/>
      <color indexed="8"/>
      <name val="Arial"/>
      <family val="2"/>
      <charset val="163"/>
    </font>
    <font>
      <b/>
      <sz val="10"/>
      <name val="Arial"/>
      <family val="2"/>
      <charset val="163"/>
    </font>
    <font>
      <u/>
      <sz val="10"/>
      <color indexed="12"/>
      <name val="MS Sans Serif"/>
      <family val="2"/>
    </font>
    <font>
      <sz val="12"/>
      <color indexed="8"/>
      <name val="Times New Roman"/>
      <family val="1"/>
      <charset val="163"/>
    </font>
    <font>
      <sz val="12"/>
      <name val=".VnTime"/>
      <family val="2"/>
    </font>
    <font>
      <sz val="12"/>
      <name val="Times New Roman"/>
      <family val="1"/>
    </font>
    <font>
      <b/>
      <sz val="18"/>
      <name val="Times New Roman"/>
      <family val="1"/>
      <charset val="163"/>
    </font>
    <font>
      <b/>
      <sz val="18"/>
      <color indexed="8"/>
      <name val="Times New Roman"/>
      <family val="1"/>
      <charset val="163"/>
    </font>
    <font>
      <b/>
      <sz val="16"/>
      <color indexed="8"/>
      <name val="Arial"/>
      <family val="2"/>
      <charset val="163"/>
    </font>
    <font>
      <sz val="11"/>
      <color indexed="8"/>
      <name val="Times New Roman"/>
      <family val="1"/>
      <charset val="163"/>
    </font>
    <font>
      <b/>
      <sz val="16"/>
      <color indexed="8"/>
      <name val="Verdana"/>
      <family val="2"/>
    </font>
    <font>
      <sz val="14"/>
      <color indexed="8"/>
      <name val="Times New Roman"/>
      <family val="1"/>
      <charset val="163"/>
    </font>
    <font>
      <b/>
      <sz val="10"/>
      <color indexed="9"/>
      <name val="Arial"/>
      <family val="2"/>
      <charset val="163"/>
    </font>
    <font>
      <b/>
      <sz val="10"/>
      <color indexed="8"/>
      <name val="Arial"/>
      <family val="2"/>
      <charset val="163"/>
    </font>
    <font>
      <sz val="14"/>
      <name val="Times New Roman"/>
      <family val="1"/>
    </font>
    <font>
      <b/>
      <sz val="14"/>
      <name val="Times New Roman"/>
      <family val="1"/>
    </font>
    <font>
      <b/>
      <sz val="12"/>
      <name val="Times New Roman"/>
      <family val="1"/>
    </font>
    <font>
      <sz val="14"/>
      <color indexed="12"/>
      <name val=".VnTime"/>
      <family val="2"/>
    </font>
    <font>
      <b/>
      <sz val="24"/>
      <name val="Verdana"/>
      <family val="2"/>
    </font>
    <font>
      <b/>
      <sz val="20"/>
      <name val="Times New Roman"/>
      <family val="1"/>
    </font>
    <font>
      <b/>
      <sz val="10"/>
      <name val="Times New Roman"/>
      <family val="1"/>
    </font>
    <font>
      <i/>
      <sz val="12"/>
      <name val="Times New Roman"/>
      <family val="1"/>
    </font>
    <font>
      <b/>
      <i/>
      <sz val="14"/>
      <name val="Times New Roman"/>
      <family val="1"/>
    </font>
    <font>
      <b/>
      <i/>
      <sz val="12"/>
      <name val="Times New Roman"/>
      <family val="1"/>
    </font>
    <font>
      <b/>
      <sz val="12"/>
      <color indexed="60"/>
      <name val="Times New Roman"/>
      <family val="1"/>
    </font>
    <font>
      <sz val="13"/>
      <name val="Times New Roman"/>
      <family val="1"/>
    </font>
    <font>
      <b/>
      <sz val="16"/>
      <color indexed="16"/>
      <name val="Verdana"/>
      <family val="2"/>
    </font>
    <font>
      <b/>
      <sz val="12"/>
      <color indexed="12"/>
      <name val="Times New Roman"/>
      <family val="1"/>
    </font>
    <font>
      <b/>
      <sz val="13"/>
      <name val="Times New Roman"/>
      <family val="1"/>
    </font>
    <font>
      <b/>
      <u/>
      <sz val="12"/>
      <name val="Times New Roman"/>
      <family val="1"/>
    </font>
    <font>
      <b/>
      <sz val="12"/>
      <color indexed="10"/>
      <name val="Times New Roman"/>
      <family val="1"/>
    </font>
    <font>
      <sz val="13"/>
      <color indexed="12"/>
      <name val="Times New Roman"/>
      <family val="1"/>
    </font>
    <font>
      <b/>
      <sz val="18"/>
      <name val="Times New Roman"/>
      <family val="1"/>
    </font>
    <font>
      <sz val="12"/>
      <color indexed="9"/>
      <name val="Times New Roman"/>
      <family val="1"/>
    </font>
    <font>
      <b/>
      <sz val="12"/>
      <name val="Verdana"/>
      <family val="2"/>
    </font>
    <font>
      <b/>
      <sz val="12"/>
      <color indexed="16"/>
      <name val="Times New Roman"/>
      <family val="1"/>
    </font>
    <font>
      <sz val="11"/>
      <name val="Times New Roman"/>
      <family val="1"/>
      <charset val="163"/>
    </font>
    <font>
      <sz val="11"/>
      <name val="Times New Roman"/>
      <family val="1"/>
    </font>
    <font>
      <sz val="12"/>
      <name val="Times New Roman"/>
      <family val="1"/>
      <charset val="163"/>
    </font>
    <font>
      <i/>
      <sz val="11"/>
      <name val="Times New Roman"/>
      <family val="1"/>
    </font>
    <font>
      <sz val="16"/>
      <name val="Verdana"/>
      <family val="2"/>
    </font>
    <font>
      <sz val="10"/>
      <name val="Times New Roman"/>
      <family val="1"/>
      <charset val="163"/>
    </font>
    <font>
      <sz val="10"/>
      <name val="Times New Roman"/>
      <family val="1"/>
    </font>
    <font>
      <sz val="14"/>
      <color indexed="12"/>
      <name val="Times New Roman"/>
      <family val="1"/>
    </font>
    <font>
      <b/>
      <sz val="9"/>
      <color indexed="9"/>
      <name val="Arial"/>
      <family val="2"/>
    </font>
    <font>
      <b/>
      <sz val="9"/>
      <name val="Arial"/>
      <family val="2"/>
    </font>
    <font>
      <b/>
      <sz val="12"/>
      <color indexed="8"/>
      <name val="Times New Roman"/>
      <family val="1"/>
    </font>
    <font>
      <sz val="12"/>
      <color indexed="8"/>
      <name val="Times New Roman"/>
      <family val="1"/>
    </font>
    <font>
      <b/>
      <sz val="12"/>
      <color indexed="9"/>
      <name val="Times New Roman"/>
      <family val="1"/>
    </font>
    <font>
      <sz val="16"/>
      <name val="Times New Roman"/>
      <family val="1"/>
    </font>
    <font>
      <sz val="10"/>
      <color indexed="12"/>
      <name val="Times New Roman"/>
      <family val="1"/>
      <charset val="163"/>
    </font>
    <font>
      <b/>
      <sz val="12"/>
      <name val="Times New Roman"/>
      <family val="1"/>
      <charset val="163"/>
    </font>
    <font>
      <sz val="12"/>
      <name val="Symbol"/>
      <family val="1"/>
      <charset val="2"/>
    </font>
    <font>
      <b/>
      <sz val="12"/>
      <color indexed="9"/>
      <name val="Times New Roman"/>
      <family val="1"/>
      <charset val="163"/>
    </font>
    <font>
      <i/>
      <sz val="12"/>
      <name val="Times New Roman"/>
      <family val="1"/>
      <charset val="163"/>
    </font>
    <font>
      <b/>
      <sz val="11"/>
      <name val="Times New Roman"/>
      <family val="1"/>
      <charset val="163"/>
    </font>
    <font>
      <i/>
      <sz val="10"/>
      <name val="Times New Roman"/>
      <family val="1"/>
    </font>
    <font>
      <b/>
      <sz val="11"/>
      <name val="Times New Roman"/>
      <family val="1"/>
    </font>
    <font>
      <b/>
      <i/>
      <sz val="12"/>
      <color indexed="8"/>
      <name val="Times New Roman"/>
      <family val="1"/>
    </font>
    <font>
      <sz val="11"/>
      <color indexed="8"/>
      <name val="Times New Roman"/>
      <family val="1"/>
    </font>
    <font>
      <b/>
      <sz val="9"/>
      <name val="Arial"/>
      <family val="2"/>
      <charset val="163"/>
    </font>
    <font>
      <sz val="9"/>
      <name val="Arial"/>
      <family val="2"/>
      <charset val="163"/>
    </font>
    <font>
      <b/>
      <sz val="16"/>
      <name val="Times New Roman"/>
      <family val="1"/>
    </font>
    <font>
      <b/>
      <sz val="8"/>
      <name val="Arial"/>
      <family val="2"/>
    </font>
    <font>
      <b/>
      <sz val="10"/>
      <name val="Arial"/>
      <family val="2"/>
    </font>
    <font>
      <b/>
      <sz val="8"/>
      <color indexed="8"/>
      <name val="Arial"/>
      <family val="2"/>
    </font>
    <font>
      <sz val="12"/>
      <name val="Arial"/>
      <family val="2"/>
      <charset val="163"/>
    </font>
    <font>
      <b/>
      <sz val="16"/>
      <name val="Verdana"/>
      <family val="2"/>
    </font>
    <font>
      <sz val="11"/>
      <name val=".VnTime"/>
      <family val="2"/>
    </font>
    <font>
      <sz val="14"/>
      <name val=".VnTime"/>
      <family val="2"/>
    </font>
    <font>
      <sz val="12"/>
      <name val="Arial"/>
      <family val="2"/>
    </font>
    <font>
      <b/>
      <sz val="14"/>
      <name val="Arial"/>
      <family val="2"/>
    </font>
    <font>
      <sz val="14"/>
      <name val="Arial"/>
      <family val="2"/>
    </font>
    <font>
      <b/>
      <sz val="14"/>
      <color indexed="12"/>
      <name val="Arial"/>
      <family val="2"/>
    </font>
    <font>
      <b/>
      <i/>
      <sz val="14"/>
      <name val="Arial"/>
      <family val="2"/>
    </font>
    <font>
      <b/>
      <sz val="14"/>
      <color indexed="12"/>
      <name val="Times New Roman"/>
      <family val="1"/>
    </font>
    <font>
      <sz val="11"/>
      <color indexed="8"/>
      <name val="Arial"/>
      <family val="2"/>
      <charset val="163"/>
    </font>
    <font>
      <b/>
      <sz val="9"/>
      <color indexed="16"/>
      <name val="Arial"/>
      <family val="2"/>
    </font>
    <font>
      <b/>
      <sz val="9"/>
      <name val="Times New Roman"/>
      <family val="1"/>
    </font>
    <font>
      <b/>
      <sz val="9"/>
      <color indexed="16"/>
      <name val="Times New Roman"/>
      <family val="1"/>
    </font>
    <font>
      <sz val="12"/>
      <color indexed="16"/>
      <name val="Times New Roman"/>
      <family val="1"/>
    </font>
    <font>
      <b/>
      <sz val="9"/>
      <color indexed="9"/>
      <name val="Arial"/>
      <family val="2"/>
      <charset val="163"/>
    </font>
    <font>
      <b/>
      <sz val="9"/>
      <color indexed="8"/>
      <name val="Times New Roman"/>
      <family val="1"/>
    </font>
    <font>
      <sz val="11"/>
      <color indexed="9"/>
      <name val="Times New Roman"/>
      <family val="1"/>
    </font>
    <font>
      <b/>
      <sz val="11"/>
      <color indexed="9"/>
      <name val="Times New Roman"/>
      <family val="1"/>
    </font>
    <font>
      <sz val="9"/>
      <name val="Arial"/>
      <family val="2"/>
    </font>
    <font>
      <sz val="8"/>
      <name val="Arial"/>
      <family val="2"/>
      <charset val="163"/>
    </font>
    <font>
      <b/>
      <i/>
      <sz val="12"/>
      <name val="Times New Roman"/>
      <family val="1"/>
      <charset val="163"/>
    </font>
    <font>
      <vertAlign val="subscript"/>
      <sz val="10"/>
      <name val="Times New Roman"/>
      <family val="1"/>
      <charset val="163"/>
    </font>
    <font>
      <vertAlign val="subscript"/>
      <sz val="12"/>
      <name val="Times New Roman"/>
      <family val="1"/>
      <charset val="163"/>
    </font>
    <font>
      <b/>
      <vertAlign val="subscript"/>
      <sz val="10"/>
      <color indexed="9"/>
      <name val="Arial"/>
      <family val="2"/>
      <charset val="163"/>
    </font>
    <font>
      <b/>
      <vertAlign val="subscript"/>
      <sz val="12"/>
      <name val="Times New Roman"/>
      <family val="1"/>
      <charset val="163"/>
    </font>
    <font>
      <b/>
      <u/>
      <sz val="10"/>
      <name val="Times New Roman"/>
      <family val="1"/>
      <charset val="163"/>
    </font>
    <font>
      <vertAlign val="superscript"/>
      <sz val="12"/>
      <name val="Times New Roman"/>
      <family val="1"/>
    </font>
    <font>
      <vertAlign val="subscript"/>
      <sz val="12"/>
      <name val="Times New Roman"/>
      <family val="1"/>
    </font>
    <font>
      <b/>
      <sz val="9"/>
      <color indexed="81"/>
      <name val="Tahoma"/>
      <family val="2"/>
      <charset val="163"/>
    </font>
    <font>
      <b/>
      <sz val="16"/>
      <name val="Times New Roman"/>
      <family val="1"/>
      <charset val="163"/>
    </font>
    <font>
      <sz val="18"/>
      <name val="Times New Roman"/>
      <family val="1"/>
      <charset val="163"/>
    </font>
    <font>
      <b/>
      <sz val="13"/>
      <color indexed="8"/>
      <name val="Arial"/>
      <family val="2"/>
      <charset val="163"/>
    </font>
    <font>
      <b/>
      <sz val="9"/>
      <name val="Times New Roman"/>
      <family val="1"/>
      <charset val="163"/>
    </font>
    <font>
      <b/>
      <sz val="16"/>
      <color indexed="8"/>
      <name val="Times New Roman"/>
      <family val="1"/>
      <charset val="163"/>
    </font>
    <font>
      <sz val="11"/>
      <color indexed="8"/>
      <name val="Times New Roman"/>
      <family val="1"/>
      <charset val="163"/>
    </font>
    <font>
      <b/>
      <sz val="11"/>
      <color indexed="8"/>
      <name val="Times New Roman"/>
      <family val="1"/>
      <charset val="163"/>
    </font>
    <font>
      <sz val="12"/>
      <color indexed="8"/>
      <name val="Times New Roman"/>
      <family val="1"/>
      <charset val="163"/>
    </font>
    <font>
      <sz val="12"/>
      <name val="Times New Roman"/>
      <family val="1"/>
    </font>
    <font>
      <b/>
      <sz val="12"/>
      <name val="Times New Roman"/>
      <family val="1"/>
    </font>
    <font>
      <sz val="12"/>
      <name val="Times New Roman"/>
      <family val="1"/>
      <charset val="163"/>
    </font>
    <font>
      <b/>
      <sz val="12"/>
      <name val="Times New Roman"/>
      <family val="1"/>
      <charset val="163"/>
    </font>
    <font>
      <vertAlign val="subscript"/>
      <sz val="10"/>
      <name val="Times New Roman"/>
      <family val="1"/>
    </font>
    <font>
      <b/>
      <i/>
      <sz val="10"/>
      <color indexed="12"/>
      <name val="Times New Roman"/>
      <family val="1"/>
      <charset val="163"/>
    </font>
    <font>
      <sz val="10"/>
      <name val="Arial"/>
      <family val="2"/>
      <charset val="163"/>
    </font>
    <font>
      <sz val="9"/>
      <color theme="1"/>
      <name val="Calibri"/>
      <family val="2"/>
      <scheme val="minor"/>
    </font>
    <font>
      <b/>
      <vertAlign val="subscript"/>
      <sz val="9"/>
      <name val="Arial"/>
      <family val="2"/>
      <charset val="163"/>
    </font>
    <font>
      <b/>
      <sz val="9"/>
      <color rgb="FFFF0000"/>
      <name val="Arial"/>
      <family val="2"/>
      <charset val="163"/>
    </font>
    <font>
      <b/>
      <sz val="9"/>
      <color rgb="FF0000CC"/>
      <name val="Arial"/>
      <family val="2"/>
      <charset val="163"/>
    </font>
    <font>
      <b/>
      <vertAlign val="subscript"/>
      <sz val="9"/>
      <color rgb="FFFF0000"/>
      <name val="Arial"/>
      <family val="2"/>
      <charset val="163"/>
    </font>
    <font>
      <b/>
      <sz val="9"/>
      <color rgb="FF0000CC"/>
      <name val="Arial"/>
      <family val="2"/>
    </font>
    <font>
      <b/>
      <vertAlign val="subscript"/>
      <sz val="9"/>
      <color rgb="FF0000CC"/>
      <name val="Arial"/>
      <family val="2"/>
    </font>
    <font>
      <b/>
      <sz val="9"/>
      <color rgb="FFFF0000"/>
      <name val="Arial"/>
      <family val="2"/>
    </font>
    <font>
      <b/>
      <vertAlign val="subscript"/>
      <sz val="9"/>
      <color rgb="FFFF0000"/>
      <name val="Arial"/>
      <family val="2"/>
    </font>
    <font>
      <b/>
      <vertAlign val="subscript"/>
      <sz val="9"/>
      <color rgb="FF0000CC"/>
      <name val="Arial"/>
      <family val="2"/>
      <charset val="163"/>
    </font>
    <font>
      <b/>
      <sz val="9"/>
      <name val="Calibri"/>
      <family val="2"/>
      <charset val="163"/>
      <scheme val="minor"/>
    </font>
    <font>
      <b/>
      <vertAlign val="subscript"/>
      <sz val="9"/>
      <name val="Calibri"/>
      <family val="2"/>
      <charset val="163"/>
      <scheme val="minor"/>
    </font>
    <font>
      <b/>
      <sz val="12"/>
      <name val="Arial"/>
      <family val="2"/>
      <charset val="163"/>
    </font>
    <font>
      <sz val="11"/>
      <name val="Cambria"/>
      <family val="1"/>
    </font>
    <font>
      <b/>
      <sz val="11"/>
      <name val="Arial"/>
      <family val="2"/>
    </font>
    <font>
      <sz val="11"/>
      <name val="Arial"/>
      <family val="2"/>
    </font>
    <font>
      <b/>
      <sz val="11"/>
      <color indexed="12"/>
      <name val="Arial"/>
      <family val="2"/>
    </font>
    <font>
      <b/>
      <i/>
      <sz val="11"/>
      <name val="Arial"/>
      <family val="2"/>
    </font>
    <font>
      <sz val="12"/>
      <color theme="1"/>
      <name val="Times New Roman"/>
      <family val="1"/>
      <charset val="163"/>
    </font>
    <font>
      <b/>
      <sz val="12"/>
      <color indexed="8"/>
      <name val="Times New Roman"/>
      <family val="1"/>
      <charset val="163"/>
    </font>
    <font>
      <b/>
      <sz val="12"/>
      <color indexed="12"/>
      <name val="Times New Roman"/>
      <family val="1"/>
      <charset val="163"/>
    </font>
    <font>
      <sz val="12"/>
      <color indexed="9"/>
      <name val="Times New Roman"/>
      <family val="1"/>
      <charset val="163"/>
    </font>
    <font>
      <b/>
      <u/>
      <sz val="12"/>
      <name val="Times New Roman"/>
      <family val="1"/>
      <charset val="163"/>
    </font>
    <font>
      <u/>
      <sz val="12"/>
      <color indexed="8"/>
      <name val="Times New Roman"/>
      <family val="1"/>
      <charset val="163"/>
    </font>
    <font>
      <sz val="12"/>
      <color rgb="FF0000CC"/>
      <name val="Times New Roman"/>
      <family val="1"/>
    </font>
    <font>
      <vertAlign val="subscript"/>
      <sz val="12"/>
      <color rgb="FF0000CC"/>
      <name val="Times New Roman"/>
      <family val="1"/>
    </font>
    <font>
      <b/>
      <vertAlign val="subscript"/>
      <sz val="12"/>
      <name val="Times New Roman"/>
      <family val="1"/>
    </font>
    <font>
      <sz val="9"/>
      <color rgb="FF0033CC"/>
      <name val="Arial"/>
      <family val="2"/>
    </font>
    <font>
      <b/>
      <sz val="14"/>
      <name val="Cambria"/>
      <family val="1"/>
      <scheme val="major"/>
    </font>
    <font>
      <sz val="11"/>
      <color rgb="FF0000FF"/>
      <name val="Times New Roman"/>
      <family val="1"/>
    </font>
    <font>
      <b/>
      <vertAlign val="subscript"/>
      <sz val="9"/>
      <name val="Arial"/>
      <family val="2"/>
    </font>
    <font>
      <sz val="9"/>
      <name val="Calibri"/>
      <family val="2"/>
      <scheme val="minor"/>
    </font>
    <font>
      <sz val="11"/>
      <name val="Calibri"/>
      <family val="2"/>
      <charset val="163"/>
      <scheme val="minor"/>
    </font>
    <font>
      <b/>
      <sz val="8"/>
      <name val="Arial"/>
      <family val="2"/>
      <charset val="163"/>
    </font>
    <font>
      <b/>
      <sz val="12"/>
      <color rgb="FF0000FF"/>
      <name val="Times New Roman"/>
      <family val="1"/>
    </font>
    <font>
      <sz val="11"/>
      <color theme="1"/>
      <name val="Calibri"/>
      <family val="2"/>
      <charset val="163"/>
      <scheme val="minor"/>
    </font>
    <font>
      <sz val="13"/>
      <name val=".VnTime"/>
      <family val="2"/>
    </font>
    <font>
      <sz val="12"/>
      <color theme="1"/>
      <name val="Times New Roman"/>
      <family val="1"/>
    </font>
    <font>
      <b/>
      <sz val="18"/>
      <color theme="1"/>
      <name val="Times New Roman"/>
      <family val="1"/>
    </font>
    <font>
      <i/>
      <sz val="12"/>
      <color theme="1"/>
      <name val="Times New Roman"/>
      <family val="1"/>
    </font>
    <font>
      <b/>
      <sz val="14"/>
      <color theme="1"/>
      <name val="Times New Roman"/>
      <family val="1"/>
    </font>
    <font>
      <b/>
      <sz val="12"/>
      <color indexed="8"/>
      <name val="Arial"/>
      <family val="2"/>
      <charset val="163"/>
    </font>
    <font>
      <b/>
      <sz val="9"/>
      <name val="Calibri"/>
      <family val="2"/>
      <scheme val="minor"/>
    </font>
    <font>
      <b/>
      <sz val="14"/>
      <color rgb="FF000000"/>
      <name val="Times New Roman"/>
      <family val="1"/>
    </font>
    <font>
      <sz val="8"/>
      <color indexed="81"/>
      <name val="Tahoma"/>
      <family val="2"/>
    </font>
    <font>
      <sz val="14"/>
      <name val="??"/>
      <family val="3"/>
    </font>
    <font>
      <sz val="10"/>
      <name val="Arial"/>
      <family val="2"/>
    </font>
    <font>
      <sz val="12"/>
      <name val="????"/>
      <charset val="136"/>
    </font>
    <font>
      <sz val="11"/>
      <name val="??"/>
      <family val="3"/>
      <charset val="129"/>
    </font>
    <font>
      <sz val="10"/>
      <name val="???"/>
      <family val="3"/>
    </font>
    <font>
      <sz val="10"/>
      <name val="Helv"/>
      <family val="2"/>
    </font>
    <font>
      <b/>
      <u/>
      <sz val="14"/>
      <color indexed="8"/>
      <name val=".VnBook-AntiquaH"/>
      <family val="2"/>
    </font>
    <font>
      <sz val="12"/>
      <name val="¹ÙÅÁÃ¼"/>
      <charset val="129"/>
    </font>
    <font>
      <i/>
      <sz val="12"/>
      <color indexed="8"/>
      <name val=".VnBook-AntiquaH"/>
      <family val="2"/>
    </font>
    <font>
      <b/>
      <sz val="12"/>
      <color indexed="8"/>
      <name val=".VnBook-Antiqua"/>
      <family val="2"/>
    </font>
    <font>
      <i/>
      <sz val="12"/>
      <color indexed="8"/>
      <name val=".VnBook-Antiqua"/>
      <family val="2"/>
    </font>
    <font>
      <sz val="10"/>
      <name val=".VnTime"/>
      <family val="2"/>
    </font>
    <font>
      <sz val="12"/>
      <name val="¹UAAA¼"/>
      <family val="3"/>
      <charset val="129"/>
    </font>
    <font>
      <sz val="11"/>
      <name val="µ¸¿ò"/>
      <charset val="129"/>
    </font>
    <font>
      <sz val="12"/>
      <name val="µ¸¿òÃ¼"/>
      <family val="3"/>
      <charset val="129"/>
    </font>
    <font>
      <b/>
      <sz val="10"/>
      <name val="Helv"/>
    </font>
    <font>
      <b/>
      <sz val="12"/>
      <name val="Helv"/>
    </font>
    <font>
      <b/>
      <sz val="12"/>
      <name val="Arial"/>
      <family val="2"/>
    </font>
    <font>
      <b/>
      <sz val="1"/>
      <color indexed="8"/>
      <name val="Courier"/>
      <family val="3"/>
    </font>
    <font>
      <sz val="10"/>
      <name val="MS Sans Serif"/>
      <family val="2"/>
    </font>
    <font>
      <b/>
      <sz val="11"/>
      <name val="Helv"/>
    </font>
    <font>
      <sz val="10"/>
      <name val=".VnAvant"/>
      <family val="2"/>
    </font>
    <font>
      <sz val="7"/>
      <name val="Small Fonts"/>
      <family val="2"/>
    </font>
    <font>
      <b/>
      <i/>
      <sz val="16"/>
      <name val="Helv"/>
    </font>
    <font>
      <sz val="11"/>
      <name val="–¾’©"/>
      <family val="1"/>
      <charset val="128"/>
    </font>
    <font>
      <sz val="11"/>
      <color indexed="32"/>
      <name val="VNI-Times"/>
    </font>
    <font>
      <sz val="10"/>
      <name val=" "/>
      <family val="1"/>
      <charset val="136"/>
    </font>
    <font>
      <sz val="14"/>
      <name val="뼻뮝"/>
      <family val="3"/>
    </font>
    <font>
      <sz val="12"/>
      <name val="바탕체"/>
      <family val="3"/>
    </font>
    <font>
      <sz val="12"/>
      <name val="뼻뮝"/>
      <family val="3"/>
    </font>
    <font>
      <sz val="12"/>
      <name val="바탕체"/>
      <family val="1"/>
      <charset val="129"/>
    </font>
    <font>
      <sz val="10"/>
      <name val=".VnArial"/>
      <family val="2"/>
    </font>
    <font>
      <sz val="10"/>
      <name val="굴림체"/>
      <family val="3"/>
    </font>
    <font>
      <sz val="12"/>
      <name val="Courier"/>
      <family val="3"/>
    </font>
    <font>
      <b/>
      <sz val="11"/>
      <color theme="1"/>
      <name val="Calibri"/>
      <family val="2"/>
      <charset val="163"/>
      <scheme val="minor"/>
    </font>
    <font>
      <b/>
      <sz val="11"/>
      <color theme="1"/>
      <name val="Times New Roman"/>
      <family val="1"/>
    </font>
    <font>
      <b/>
      <sz val="11"/>
      <color theme="1"/>
      <name val="Calibri"/>
      <family val="2"/>
      <charset val="163"/>
    </font>
    <font>
      <b/>
      <sz val="16"/>
      <color indexed="60"/>
      <name val="Verdana"/>
      <family val="2"/>
    </font>
    <font>
      <sz val="11"/>
      <color rgb="FF0000FF"/>
      <name val="Calibri"/>
      <family val="2"/>
      <charset val="163"/>
      <scheme val="minor"/>
    </font>
    <font>
      <i/>
      <sz val="11"/>
      <color theme="1"/>
      <name val="Calibri"/>
      <family val="2"/>
      <scheme val="minor"/>
    </font>
    <font>
      <sz val="12"/>
      <name val="Verdana"/>
      <family val="2"/>
    </font>
    <font>
      <b/>
      <sz val="12"/>
      <color theme="1"/>
      <name val="Calibri"/>
      <family val="2"/>
      <charset val="163"/>
      <scheme val="minor"/>
    </font>
    <font>
      <sz val="11"/>
      <name val="Times New Roman"/>
      <family val="1"/>
    </font>
    <font>
      <sz val="11"/>
      <color theme="1"/>
      <name val="Arial"/>
      <family val="2"/>
      <charset val="163"/>
    </font>
    <font>
      <b/>
      <sz val="11"/>
      <color indexed="8"/>
      <name val="Times New Roman"/>
      <family val="1"/>
    </font>
    <font>
      <b/>
      <vertAlign val="subscript"/>
      <sz val="11"/>
      <color indexed="8"/>
      <name val="Times New Roman"/>
      <family val="1"/>
    </font>
    <font>
      <sz val="11"/>
      <color theme="1"/>
      <name val="Times New Roman"/>
      <family val="1"/>
    </font>
    <font>
      <vertAlign val="subscript"/>
      <sz val="11"/>
      <color indexed="8"/>
      <name val="Times New Roman"/>
      <family val="1"/>
    </font>
    <font>
      <i/>
      <sz val="11"/>
      <color indexed="8"/>
      <name val="Times New Roman"/>
      <family val="1"/>
    </font>
    <font>
      <i/>
      <sz val="11"/>
      <color theme="1"/>
      <name val="Times New Roman"/>
      <family val="1"/>
    </font>
    <font>
      <b/>
      <sz val="18"/>
      <name val="Verdana"/>
      <family val="2"/>
    </font>
    <font>
      <b/>
      <sz val="8"/>
      <color indexed="81"/>
      <name val="Tahoma"/>
      <family val="2"/>
    </font>
    <font>
      <b/>
      <sz val="8"/>
      <color indexed="81"/>
      <name val="Tahoma"/>
      <family val="2"/>
      <charset val="163"/>
    </font>
    <font>
      <sz val="9"/>
      <color rgb="FF0000FF"/>
      <name val="Arial"/>
      <family val="2"/>
      <charset val="163"/>
    </font>
    <font>
      <sz val="12"/>
      <color rgb="FF0000FF"/>
      <name val="Times New Roman"/>
      <family val="1"/>
      <charset val="163"/>
    </font>
    <font>
      <sz val="12"/>
      <color rgb="FF0033CC"/>
      <name val="Times New Roman"/>
      <family val="1"/>
    </font>
    <font>
      <sz val="11"/>
      <color rgb="FF0033CC"/>
      <name val="Cambria"/>
      <family val="1"/>
    </font>
    <font>
      <sz val="12"/>
      <color rgb="FF0033CC"/>
      <name val="Times New Roman"/>
      <family val="1"/>
      <charset val="163"/>
    </font>
    <font>
      <sz val="11"/>
      <color rgb="FF0033CC"/>
      <name val="Times New Roman"/>
      <family val="1"/>
    </font>
    <font>
      <sz val="11"/>
      <color rgb="FF0033CC"/>
      <name val="Calibri"/>
      <family val="2"/>
      <charset val="163"/>
      <scheme val="minor"/>
    </font>
    <font>
      <b/>
      <sz val="11"/>
      <color theme="1"/>
      <name val="Calibri"/>
      <family val="2"/>
      <scheme val="minor"/>
    </font>
    <font>
      <sz val="12"/>
      <color indexed="10"/>
      <name val="Times New Roman"/>
      <family val="1"/>
    </font>
    <font>
      <i/>
      <sz val="10"/>
      <color indexed="12"/>
      <name val="Times New Roman"/>
      <family val="1"/>
    </font>
    <font>
      <i/>
      <sz val="10"/>
      <color indexed="12"/>
      <name val="Arial"/>
      <family val="2"/>
    </font>
    <font>
      <b/>
      <sz val="10"/>
      <color rgb="FF0000FF"/>
      <name val="Arial"/>
      <family val="2"/>
    </font>
    <font>
      <b/>
      <sz val="11"/>
      <color rgb="FFFF0000"/>
      <name val="Arial"/>
      <family val="2"/>
      <charset val="163"/>
    </font>
  </fonts>
  <fills count="15">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57"/>
        <bgColor indexed="64"/>
      </patternFill>
    </fill>
    <fill>
      <patternFill patternType="solid">
        <fgColor indexed="13"/>
        <bgColor indexed="64"/>
      </patternFill>
    </fill>
    <fill>
      <patternFill patternType="solid">
        <fgColor indexed="43"/>
        <bgColor indexed="64"/>
      </patternFill>
    </fill>
    <fill>
      <patternFill patternType="solid">
        <fgColor rgb="FFFFFF00"/>
        <bgColor indexed="64"/>
      </patternFill>
    </fill>
    <fill>
      <patternFill patternType="solid">
        <fgColor rgb="FFFFFF66"/>
        <bgColor indexed="64"/>
      </patternFill>
    </fill>
    <fill>
      <patternFill patternType="solid">
        <fgColor rgb="FFFFFF99"/>
        <bgColor indexed="64"/>
      </patternFill>
    </fill>
    <fill>
      <patternFill patternType="solid">
        <fgColor rgb="FFFFFFCC"/>
        <bgColor indexed="64"/>
      </patternFill>
    </fill>
    <fill>
      <patternFill patternType="solid">
        <fgColor rgb="FF99FF99"/>
        <bgColor indexed="64"/>
      </patternFill>
    </fill>
    <fill>
      <patternFill patternType="solid">
        <fgColor rgb="FFCCFFCC"/>
        <bgColor indexed="64"/>
      </patternFill>
    </fill>
    <fill>
      <patternFill patternType="solid">
        <fgColor indexed="22"/>
        <bgColor indexed="64"/>
      </patternFill>
    </fill>
    <fill>
      <patternFill patternType="solid">
        <fgColor indexed="9"/>
        <bgColor indexed="64"/>
      </patternFill>
    </fill>
  </fills>
  <borders count="64">
    <border>
      <left/>
      <right/>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indexed="64"/>
      </top>
      <bottom style="thin">
        <color indexed="64"/>
      </bottom>
      <diagonal/>
    </border>
    <border>
      <left/>
      <right/>
      <top style="hair">
        <color auto="1"/>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auto="1"/>
      </left>
      <right style="thin">
        <color auto="1"/>
      </right>
      <top style="hair">
        <color auto="1"/>
      </top>
      <bottom style="hair">
        <color auto="1"/>
      </bottom>
      <diagonal/>
    </border>
    <border>
      <left style="thin">
        <color auto="1"/>
      </left>
      <right style="thin">
        <color indexed="64"/>
      </right>
      <top style="thin">
        <color indexed="64"/>
      </top>
      <bottom style="hair">
        <color auto="1"/>
      </bottom>
      <diagonal/>
    </border>
    <border>
      <left/>
      <right/>
      <top style="medium">
        <color indexed="64"/>
      </top>
      <bottom style="medium">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s>
  <cellStyleXfs count="129">
    <xf numFmtId="0" fontId="0" fillId="0" borderId="0"/>
    <xf numFmtId="43" fontId="77" fillId="0" borderId="0" applyFont="0" applyFill="0" applyBorder="0" applyAlignment="0" applyProtection="0"/>
    <xf numFmtId="0" fontId="3" fillId="0" borderId="0" applyNumberFormat="0" applyFill="0" applyBorder="0" applyAlignment="0" applyProtection="0"/>
    <xf numFmtId="0" fontId="5" fillId="0" borderId="0"/>
    <xf numFmtId="0" fontId="5" fillId="0" borderId="0"/>
    <xf numFmtId="0" fontId="67" fillId="0" borderId="0"/>
    <xf numFmtId="0" fontId="69" fillId="0" borderId="0"/>
    <xf numFmtId="0" fontId="5" fillId="0" borderId="0"/>
    <xf numFmtId="9" fontId="77" fillId="0" borderId="0" applyFont="0" applyFill="0" applyBorder="0" applyAlignment="0" applyProtection="0"/>
    <xf numFmtId="0" fontId="38" fillId="0" borderId="0"/>
    <xf numFmtId="0" fontId="5" fillId="0" borderId="0" applyNumberFormat="0" applyFill="0" applyBorder="0" applyAlignment="0" applyProtection="0"/>
    <xf numFmtId="190" fontId="70" fillId="0" borderId="0" applyFont="0" applyFill="0" applyBorder="0" applyAlignment="0" applyProtection="0"/>
    <xf numFmtId="0" fontId="157" fillId="0" borderId="0" applyFont="0" applyFill="0" applyBorder="0" applyAlignment="0" applyProtection="0"/>
    <xf numFmtId="191" fontId="158" fillId="0" borderId="0" applyFont="0" applyFill="0" applyBorder="0" applyAlignment="0" applyProtection="0"/>
    <xf numFmtId="40" fontId="157" fillId="0" borderId="0" applyFont="0" applyFill="0" applyBorder="0" applyAlignment="0" applyProtection="0"/>
    <xf numFmtId="38" fontId="157" fillId="0" borderId="0" applyFont="0" applyFill="0" applyBorder="0" applyAlignment="0" applyProtection="0"/>
    <xf numFmtId="192" fontId="159" fillId="0" borderId="0" applyFont="0" applyFill="0" applyBorder="0" applyAlignment="0" applyProtection="0"/>
    <xf numFmtId="9" fontId="160" fillId="0" borderId="0" applyFont="0" applyFill="0" applyBorder="0" applyAlignment="0" applyProtection="0"/>
    <xf numFmtId="0" fontId="161" fillId="0" borderId="0"/>
    <xf numFmtId="0" fontId="162" fillId="0" borderId="0"/>
    <xf numFmtId="0" fontId="158" fillId="0" borderId="0"/>
    <xf numFmtId="0" fontId="158" fillId="0" borderId="0"/>
    <xf numFmtId="0" fontId="163" fillId="13" borderId="0"/>
    <xf numFmtId="9" fontId="164" fillId="0" borderId="0" applyFont="0" applyFill="0" applyBorder="0" applyAlignment="0" applyProtection="0"/>
    <xf numFmtId="0" fontId="165" fillId="13" borderId="0"/>
    <xf numFmtId="0" fontId="5" fillId="0" borderId="0"/>
    <xf numFmtId="0" fontId="166" fillId="13" borderId="0"/>
    <xf numFmtId="0" fontId="167" fillId="0" borderId="0">
      <alignment wrapText="1"/>
    </xf>
    <xf numFmtId="0" fontId="168" fillId="0" borderId="0"/>
    <xf numFmtId="193" fontId="5" fillId="0" borderId="0" applyFont="0" applyFill="0" applyBorder="0" applyAlignment="0" applyProtection="0"/>
    <xf numFmtId="0" fontId="169" fillId="0" borderId="0" applyFont="0" applyFill="0" applyBorder="0" applyAlignment="0" applyProtection="0"/>
    <xf numFmtId="193" fontId="5" fillId="0" borderId="0" applyFont="0" applyFill="0" applyBorder="0" applyAlignment="0" applyProtection="0"/>
    <xf numFmtId="176" fontId="5" fillId="0" borderId="0" applyFont="0" applyFill="0" applyBorder="0" applyAlignment="0" applyProtection="0"/>
    <xf numFmtId="0" fontId="169" fillId="0" borderId="0" applyFont="0" applyFill="0" applyBorder="0" applyAlignment="0" applyProtection="0"/>
    <xf numFmtId="176" fontId="5" fillId="0" borderId="0" applyFont="0" applyFill="0" applyBorder="0" applyAlignment="0" applyProtection="0"/>
    <xf numFmtId="172" fontId="5" fillId="0" borderId="0" applyFont="0" applyFill="0" applyBorder="0" applyAlignment="0" applyProtection="0"/>
    <xf numFmtId="0" fontId="169" fillId="0" borderId="0" applyFont="0" applyFill="0" applyBorder="0" applyAlignment="0" applyProtection="0"/>
    <xf numFmtId="194" fontId="164" fillId="0" borderId="0" applyFont="0" applyFill="0" applyBorder="0" applyAlignment="0" applyProtection="0"/>
    <xf numFmtId="195" fontId="5" fillId="0" borderId="0" applyFont="0" applyFill="0" applyBorder="0" applyAlignment="0" applyProtection="0"/>
    <xf numFmtId="0" fontId="169" fillId="0" borderId="0" applyFont="0" applyFill="0" applyBorder="0" applyAlignment="0" applyProtection="0"/>
    <xf numFmtId="196" fontId="164" fillId="0" borderId="0" applyFont="0" applyFill="0" applyBorder="0" applyAlignment="0" applyProtection="0"/>
    <xf numFmtId="0" fontId="169" fillId="0" borderId="0"/>
    <xf numFmtId="0" fontId="170" fillId="0" borderId="0"/>
    <xf numFmtId="0" fontId="169" fillId="0" borderId="0"/>
    <xf numFmtId="0" fontId="171" fillId="0" borderId="0"/>
    <xf numFmtId="0" fontId="172" fillId="0" borderId="0"/>
    <xf numFmtId="43" fontId="77" fillId="0" borderId="0" applyFont="0" applyFill="0" applyBorder="0" applyAlignment="0" applyProtection="0"/>
    <xf numFmtId="43" fontId="111" fillId="0" borderId="0" applyFont="0" applyFill="0" applyBorder="0" applyAlignment="0" applyProtection="0"/>
    <xf numFmtId="197" fontId="42" fillId="0" borderId="0"/>
    <xf numFmtId="3" fontId="158" fillId="0" borderId="0" applyFont="0" applyFill="0" applyBorder="0" applyAlignment="0" applyProtection="0"/>
    <xf numFmtId="198" fontId="158" fillId="0" borderId="0" applyFont="0" applyFill="0" applyBorder="0" applyAlignment="0" applyProtection="0"/>
    <xf numFmtId="199" fontId="111" fillId="0" borderId="0"/>
    <xf numFmtId="181" fontId="5" fillId="0" borderId="9"/>
    <xf numFmtId="0" fontId="158" fillId="0" borderId="0" applyFont="0" applyFill="0" applyBorder="0" applyAlignment="0" applyProtection="0"/>
    <xf numFmtId="200" fontId="111" fillId="0" borderId="0" applyFont="0" applyFill="0" applyBorder="0" applyAlignment="0" applyProtection="0"/>
    <xf numFmtId="201" fontId="111" fillId="0" borderId="0" applyFont="0" applyFill="0" applyBorder="0" applyAlignment="0" applyProtection="0"/>
    <xf numFmtId="202" fontId="111" fillId="0" borderId="0"/>
    <xf numFmtId="3" fontId="5" fillId="0" borderId="0" applyFont="0" applyBorder="0" applyAlignment="0"/>
    <xf numFmtId="3" fontId="5" fillId="0" borderId="0" applyFont="0" applyBorder="0" applyAlignment="0"/>
    <xf numFmtId="2" fontId="158" fillId="0" borderId="0" applyFont="0" applyFill="0" applyBorder="0" applyAlignment="0" applyProtection="0"/>
    <xf numFmtId="38" fontId="87" fillId="14" borderId="0" applyNumberFormat="0" applyBorder="0" applyAlignment="0" applyProtection="0"/>
    <xf numFmtId="0" fontId="173" fillId="0" borderId="0">
      <alignment horizontal="left"/>
    </xf>
    <xf numFmtId="0" fontId="174" fillId="0" borderId="54" applyNumberFormat="0" applyAlignment="0" applyProtection="0">
      <alignment horizontal="left" vertical="center"/>
    </xf>
    <xf numFmtId="0" fontId="174" fillId="0" borderId="14">
      <alignment horizontal="left" vertical="center"/>
    </xf>
    <xf numFmtId="203" fontId="175" fillId="0" borderId="0">
      <protection locked="0"/>
    </xf>
    <xf numFmtId="203" fontId="175" fillId="0" borderId="0">
      <protection locked="0"/>
    </xf>
    <xf numFmtId="0" fontId="3" fillId="0" borderId="0" applyNumberFormat="0" applyFill="0" applyBorder="0" applyAlignment="0" applyProtection="0"/>
    <xf numFmtId="10" fontId="87" fillId="14" borderId="13" applyNumberFormat="0" applyBorder="0" applyAlignment="0" applyProtection="0"/>
    <xf numFmtId="38" fontId="176" fillId="0" borderId="0" applyFont="0" applyFill="0" applyBorder="0" applyAlignment="0" applyProtection="0"/>
    <xf numFmtId="40" fontId="176" fillId="0" borderId="0" applyFont="0" applyFill="0" applyBorder="0" applyAlignment="0" applyProtection="0"/>
    <xf numFmtId="0" fontId="177" fillId="0" borderId="55"/>
    <xf numFmtId="184" fontId="178" fillId="0" borderId="3"/>
    <xf numFmtId="204" fontId="176" fillId="0" borderId="0" applyFont="0" applyFill="0" applyBorder="0" applyAlignment="0" applyProtection="0"/>
    <xf numFmtId="205" fontId="176" fillId="0" borderId="0" applyFont="0" applyFill="0" applyBorder="0" applyAlignment="0" applyProtection="0"/>
    <xf numFmtId="206" fontId="111" fillId="0" borderId="0" applyFont="0" applyFill="0" applyBorder="0" applyAlignment="0" applyProtection="0"/>
    <xf numFmtId="207" fontId="111" fillId="0" borderId="0" applyFont="0" applyFill="0" applyBorder="0" applyAlignment="0" applyProtection="0"/>
    <xf numFmtId="0" fontId="71" fillId="0" borderId="0" applyNumberFormat="0" applyFont="0" applyFill="0" applyAlignment="0"/>
    <xf numFmtId="0" fontId="42" fillId="0" borderId="0"/>
    <xf numFmtId="37" fontId="179" fillId="0" borderId="0"/>
    <xf numFmtId="208" fontId="180" fillId="0" borderId="0"/>
    <xf numFmtId="0" fontId="147" fillId="0" borderId="0"/>
    <xf numFmtId="0" fontId="147" fillId="0" borderId="0"/>
    <xf numFmtId="0" fontId="147" fillId="0" borderId="0"/>
    <xf numFmtId="0" fontId="147" fillId="0" borderId="0"/>
    <xf numFmtId="0" fontId="111" fillId="0" borderId="0"/>
    <xf numFmtId="0" fontId="5" fillId="0" borderId="0"/>
    <xf numFmtId="209" fontId="181" fillId="0" borderId="0" applyFont="0" applyFill="0" applyBorder="0" applyAlignment="0" applyProtection="0"/>
    <xf numFmtId="192" fontId="181" fillId="0" borderId="0" applyFont="0" applyFill="0" applyBorder="0" applyAlignment="0" applyProtection="0"/>
    <xf numFmtId="0" fontId="148" fillId="0" borderId="0" applyNumberFormat="0" applyFill="0" applyBorder="0" applyAlignment="0" applyProtection="0"/>
    <xf numFmtId="0" fontId="5" fillId="0" borderId="0" applyNumberFormat="0" applyFill="0" applyBorder="0" applyAlignment="0" applyProtection="0"/>
    <xf numFmtId="0" fontId="158" fillId="0" borderId="0" applyFont="0" applyFill="0" applyBorder="0" applyAlignment="0" applyProtection="0"/>
    <xf numFmtId="0" fontId="43" fillId="0" borderId="0"/>
    <xf numFmtId="10" fontId="111" fillId="0" borderId="0" applyFont="0" applyFill="0" applyBorder="0" applyAlignment="0" applyProtection="0"/>
    <xf numFmtId="9" fontId="77" fillId="0" borderId="0" applyFont="0" applyFill="0" applyBorder="0" applyAlignment="0" applyProtection="0"/>
    <xf numFmtId="0" fontId="5" fillId="0" borderId="0" applyNumberFormat="0" applyFill="0" applyBorder="0" applyAlignment="0" applyProtection="0"/>
    <xf numFmtId="0" fontId="168" fillId="0" borderId="0" applyNumberFormat="0" applyFill="0" applyBorder="0" applyAlignment="0" applyProtection="0"/>
    <xf numFmtId="0" fontId="182" fillId="0" borderId="0"/>
    <xf numFmtId="0" fontId="177" fillId="0" borderId="0"/>
    <xf numFmtId="210" fontId="5" fillId="0" borderId="1">
      <alignment horizontal="right" vertical="center"/>
    </xf>
    <xf numFmtId="211" fontId="5" fillId="0" borderId="1">
      <alignment horizontal="center"/>
    </xf>
    <xf numFmtId="0" fontId="148" fillId="0" borderId="0" applyNumberFormat="0" applyFill="0" applyBorder="0" applyAlignment="0" applyProtection="0"/>
    <xf numFmtId="0" fontId="111" fillId="0" borderId="0" applyNumberFormat="0" applyFill="0" applyBorder="0" applyAlignment="0" applyProtection="0"/>
    <xf numFmtId="212" fontId="5" fillId="0" borderId="0"/>
    <xf numFmtId="213" fontId="5" fillId="0" borderId="13"/>
    <xf numFmtId="214" fontId="111" fillId="0" borderId="0" applyFont="0" applyFill="0" applyBorder="0" applyAlignment="0" applyProtection="0"/>
    <xf numFmtId="215" fontId="111" fillId="0" borderId="0" applyFont="0" applyFill="0" applyBorder="0" applyAlignment="0" applyProtection="0"/>
    <xf numFmtId="0" fontId="183" fillId="0" borderId="0" applyFont="0" applyFill="0" applyBorder="0" applyAlignment="0" applyProtection="0"/>
    <xf numFmtId="0" fontId="183" fillId="0" borderId="0" applyFont="0" applyFill="0" applyBorder="0" applyAlignment="0" applyProtection="0"/>
    <xf numFmtId="0" fontId="6" fillId="0" borderId="0">
      <alignment vertical="center"/>
    </xf>
    <xf numFmtId="40" fontId="184" fillId="0" borderId="0" applyFont="0" applyFill="0" applyBorder="0" applyAlignment="0" applyProtection="0"/>
    <xf numFmtId="38" fontId="184" fillId="0" borderId="0" applyFont="0" applyFill="0" applyBorder="0" applyAlignment="0" applyProtection="0"/>
    <xf numFmtId="0" fontId="184" fillId="0" borderId="0" applyFont="0" applyFill="0" applyBorder="0" applyAlignment="0" applyProtection="0"/>
    <xf numFmtId="0" fontId="184" fillId="0" borderId="0" applyFont="0" applyFill="0" applyBorder="0" applyAlignment="0" applyProtection="0"/>
    <xf numFmtId="9" fontId="185" fillId="0" borderId="0" applyFont="0" applyFill="0" applyBorder="0" applyAlignment="0" applyProtection="0"/>
    <xf numFmtId="0" fontId="186" fillId="0" borderId="0"/>
    <xf numFmtId="0" fontId="187" fillId="0" borderId="0" applyFont="0" applyFill="0" applyBorder="0" applyAlignment="0" applyProtection="0"/>
    <xf numFmtId="0" fontId="187" fillId="0" borderId="0" applyFont="0" applyFill="0" applyBorder="0" applyAlignment="0" applyProtection="0"/>
    <xf numFmtId="216" fontId="188" fillId="0" borderId="0" applyFont="0" applyFill="0" applyBorder="0" applyAlignment="0" applyProtection="0"/>
    <xf numFmtId="217" fontId="188" fillId="0" borderId="0" applyFont="0" applyFill="0" applyBorder="0" applyAlignment="0" applyProtection="0"/>
    <xf numFmtId="0" fontId="189" fillId="0" borderId="0"/>
    <xf numFmtId="0" fontId="71" fillId="0" borderId="0"/>
    <xf numFmtId="192" fontId="86" fillId="0" borderId="0" applyFont="0" applyFill="0" applyBorder="0" applyAlignment="0" applyProtection="0"/>
    <xf numFmtId="209" fontId="86" fillId="0" borderId="0" applyFont="0" applyFill="0" applyBorder="0" applyAlignment="0" applyProtection="0"/>
    <xf numFmtId="218" fontId="86" fillId="0" borderId="0" applyFont="0" applyFill="0" applyBorder="0" applyAlignment="0" applyProtection="0"/>
    <xf numFmtId="204" fontId="190" fillId="0" borderId="0" applyFont="0" applyFill="0" applyBorder="0" applyAlignment="0" applyProtection="0"/>
    <xf numFmtId="219" fontId="86" fillId="0" borderId="0" applyFont="0" applyFill="0" applyBorder="0" applyAlignment="0" applyProtection="0"/>
    <xf numFmtId="0" fontId="199" fillId="0" borderId="0"/>
    <xf numFmtId="0" fontId="200" fillId="0" borderId="0"/>
    <xf numFmtId="0" fontId="77" fillId="0" borderId="0" applyFont="0" applyFill="0" applyBorder="0" applyAlignment="0" applyProtection="0"/>
  </cellStyleXfs>
  <cellXfs count="1462">
    <xf numFmtId="0" fontId="0" fillId="0" borderId="0" xfId="0"/>
    <xf numFmtId="0" fontId="6" fillId="0" borderId="0" xfId="4" applyFont="1" applyAlignment="1">
      <alignment horizontal="justify" vertical="center" wrapText="1"/>
    </xf>
    <xf numFmtId="0" fontId="7" fillId="0" borderId="0" xfId="4" applyFont="1" applyAlignment="1" applyProtection="1">
      <alignment horizontal="centerContinuous" vertical="center"/>
      <protection locked="0"/>
    </xf>
    <xf numFmtId="0" fontId="1" fillId="0" borderId="0" xfId="4" applyFont="1" applyAlignment="1" applyProtection="1">
      <alignment horizontal="centerContinuous" vertical="center"/>
      <protection locked="0"/>
    </xf>
    <xf numFmtId="0" fontId="8" fillId="0" borderId="0" xfId="4" applyFont="1" applyAlignment="1">
      <alignment horizontal="centerContinuous" vertical="center"/>
    </xf>
    <xf numFmtId="0" fontId="9" fillId="0" borderId="0" xfId="4" applyFont="1" applyAlignment="1" applyProtection="1">
      <alignment horizontal="centerContinuous" vertical="center"/>
      <protection locked="0"/>
    </xf>
    <xf numFmtId="0" fontId="10" fillId="0" borderId="0" xfId="0" applyFont="1"/>
    <xf numFmtId="0" fontId="11" fillId="0" borderId="0" xfId="4" applyFont="1" applyAlignment="1" applyProtection="1">
      <alignment horizontal="centerContinuous" vertical="center"/>
      <protection locked="0"/>
    </xf>
    <xf numFmtId="0" fontId="12" fillId="0" borderId="0" xfId="0" applyFont="1" applyAlignment="1">
      <alignment horizontal="centerContinuous" vertical="center"/>
    </xf>
    <xf numFmtId="0" fontId="10" fillId="0" borderId="0" xfId="0" applyFont="1" applyAlignment="1">
      <alignment horizontal="centerContinuous" vertical="center"/>
    </xf>
    <xf numFmtId="0" fontId="6" fillId="0" borderId="0" xfId="4" applyFont="1" applyFill="1"/>
    <xf numFmtId="0" fontId="16" fillId="0" borderId="8" xfId="4" applyFont="1" applyFill="1" applyBorder="1" applyAlignment="1">
      <alignment horizontal="centerContinuous" vertical="center"/>
    </xf>
    <xf numFmtId="0" fontId="15" fillId="0" borderId="0" xfId="4" applyFont="1" applyBorder="1" applyAlignment="1">
      <alignment horizontal="centerContinuous" vertical="center"/>
    </xf>
    <xf numFmtId="0" fontId="18" fillId="0" borderId="8" xfId="2" applyFont="1" applyFill="1" applyBorder="1" applyAlignment="1" applyProtection="1">
      <alignment horizontal="centerContinuous" vertical="center"/>
    </xf>
    <xf numFmtId="0" fontId="16" fillId="0" borderId="0" xfId="4" applyFont="1" applyBorder="1" applyAlignment="1">
      <alignment horizontal="centerContinuous" vertical="center"/>
    </xf>
    <xf numFmtId="0" fontId="6" fillId="0" borderId="0" xfId="4" applyFont="1" applyFill="1" applyBorder="1"/>
    <xf numFmtId="0" fontId="15" fillId="0" borderId="8" xfId="4" applyFont="1" applyBorder="1" applyAlignment="1">
      <alignment horizontal="centerContinuous" vertical="center"/>
    </xf>
    <xf numFmtId="0" fontId="16" fillId="0" borderId="0" xfId="4" applyFont="1" applyFill="1"/>
    <xf numFmtId="0" fontId="15" fillId="0" borderId="0" xfId="4" applyFont="1" applyFill="1"/>
    <xf numFmtId="0" fontId="17" fillId="0" borderId="0" xfId="0" applyFont="1" applyFill="1" applyBorder="1" applyAlignment="1">
      <alignment horizontal="centerContinuous" vertical="center" wrapText="1"/>
    </xf>
    <xf numFmtId="0" fontId="15" fillId="0" borderId="0" xfId="4" applyFont="1" applyFill="1" applyBorder="1" applyAlignment="1">
      <alignment horizontal="centerContinuous" vertical="center"/>
    </xf>
    <xf numFmtId="0" fontId="17" fillId="0" borderId="0" xfId="4" applyFont="1" applyFill="1"/>
    <xf numFmtId="0" fontId="16" fillId="0" borderId="0" xfId="4" applyFont="1" applyFill="1" applyBorder="1" applyAlignment="1">
      <alignment horizontal="centerContinuous" vertical="center"/>
    </xf>
    <xf numFmtId="0" fontId="15" fillId="0" borderId="8" xfId="4" applyFont="1" applyFill="1" applyBorder="1" applyAlignment="1">
      <alignment horizontal="centerContinuous" vertical="center"/>
    </xf>
    <xf numFmtId="0" fontId="24" fillId="0" borderId="0" xfId="4" applyFont="1" applyFill="1" applyBorder="1"/>
    <xf numFmtId="0" fontId="25" fillId="0" borderId="0" xfId="0" applyFont="1" applyFill="1" applyBorder="1" applyAlignment="1">
      <alignment horizontal="centerContinuous" vertical="center" wrapText="1"/>
    </xf>
    <xf numFmtId="0" fontId="26" fillId="0" borderId="0" xfId="4" applyFont="1" applyAlignment="1">
      <alignment vertical="center"/>
    </xf>
    <xf numFmtId="0" fontId="27" fillId="0" borderId="0" xfId="4" applyFont="1" applyAlignment="1">
      <alignment horizontal="centerContinuous" vertical="center"/>
    </xf>
    <xf numFmtId="0" fontId="6" fillId="0" borderId="0" xfId="4" applyFont="1" applyAlignment="1">
      <alignment vertical="center"/>
    </xf>
    <xf numFmtId="0" fontId="28" fillId="0" borderId="0" xfId="4" applyFont="1" applyAlignment="1">
      <alignment horizontal="centerContinuous" vertical="center"/>
    </xf>
    <xf numFmtId="0" fontId="29" fillId="0" borderId="0" xfId="4" applyFont="1" applyAlignment="1">
      <alignment horizontal="center" vertical="center"/>
    </xf>
    <xf numFmtId="0" fontId="17" fillId="0" borderId="0" xfId="4" applyFont="1" applyAlignment="1">
      <alignment vertical="center"/>
    </xf>
    <xf numFmtId="0" fontId="30" fillId="0" borderId="0" xfId="4" applyFont="1" applyAlignment="1">
      <alignment vertical="center"/>
    </xf>
    <xf numFmtId="0" fontId="17" fillId="0" borderId="0" xfId="4" quotePrefix="1" applyFont="1" applyAlignment="1">
      <alignment horizontal="justify" vertical="center"/>
    </xf>
    <xf numFmtId="0" fontId="6" fillId="0" borderId="0" xfId="4" applyNumberFormat="1" applyFont="1" applyAlignment="1">
      <alignment vertical="center" wrapText="1"/>
    </xf>
    <xf numFmtId="0" fontId="6" fillId="0" borderId="0" xfId="4" applyFont="1" applyAlignment="1">
      <alignment vertical="center" wrapText="1"/>
    </xf>
    <xf numFmtId="0" fontId="6" fillId="0" borderId="0" xfId="4" applyNumberFormat="1" applyFont="1" applyAlignment="1">
      <alignment vertical="center"/>
    </xf>
    <xf numFmtId="169" fontId="6" fillId="0" borderId="0" xfId="4" applyNumberFormat="1" applyFont="1" applyAlignment="1">
      <alignment vertical="center"/>
    </xf>
    <xf numFmtId="0" fontId="26" fillId="0" borderId="0" xfId="4" applyFont="1" applyAlignment="1">
      <alignment vertical="center" wrapText="1"/>
    </xf>
    <xf numFmtId="0" fontId="6" fillId="0" borderId="0" xfId="4" applyFont="1" applyAlignment="1">
      <alignment horizontal="center" vertical="center"/>
    </xf>
    <xf numFmtId="165" fontId="6" fillId="0" borderId="0" xfId="4" applyNumberFormat="1" applyFont="1" applyAlignment="1">
      <alignment horizontal="center" vertical="center"/>
    </xf>
    <xf numFmtId="170" fontId="32" fillId="0" borderId="0" xfId="4" applyNumberFormat="1" applyFont="1" applyAlignment="1">
      <alignment vertical="center"/>
    </xf>
    <xf numFmtId="0" fontId="29" fillId="0" borderId="0" xfId="4" applyFont="1" applyAlignment="1">
      <alignment vertical="center"/>
    </xf>
    <xf numFmtId="0" fontId="33" fillId="0" borderId="0" xfId="4" applyNumberFormat="1" applyFont="1" applyAlignment="1">
      <alignment horizontal="centerContinuous" vertical="center"/>
    </xf>
    <xf numFmtId="171" fontId="34" fillId="0" borderId="0" xfId="4" applyNumberFormat="1" applyFont="1" applyFill="1" applyAlignment="1">
      <alignment horizontal="left"/>
    </xf>
    <xf numFmtId="0" fontId="35" fillId="0" borderId="0" xfId="4" applyFont="1" applyFill="1" applyAlignment="1">
      <alignment vertical="center"/>
    </xf>
    <xf numFmtId="0" fontId="6" fillId="0" borderId="0" xfId="4" applyFont="1" applyFill="1" applyAlignment="1">
      <alignment vertical="center"/>
    </xf>
    <xf numFmtId="0" fontId="36" fillId="0" borderId="0" xfId="4" applyFont="1" applyFill="1" applyBorder="1" applyAlignment="1">
      <alignment horizontal="center" vertical="center"/>
    </xf>
    <xf numFmtId="0" fontId="6" fillId="0" borderId="0" xfId="4" applyNumberFormat="1" applyFont="1" applyFill="1"/>
    <xf numFmtId="0" fontId="17" fillId="0" borderId="13" xfId="0" applyFont="1" applyFill="1" applyBorder="1" applyAlignment="1">
      <alignment horizontal="center"/>
    </xf>
    <xf numFmtId="0" fontId="6" fillId="0" borderId="0" xfId="4" applyFont="1"/>
    <xf numFmtId="0" fontId="17" fillId="3" borderId="14" xfId="4" applyNumberFormat="1" applyFont="1" applyFill="1" applyBorder="1" applyAlignment="1">
      <alignment vertical="center"/>
    </xf>
    <xf numFmtId="0" fontId="17" fillId="3" borderId="15" xfId="4" applyNumberFormat="1" applyFont="1" applyFill="1" applyBorder="1" applyAlignment="1">
      <alignment horizontal="center" vertical="center"/>
    </xf>
    <xf numFmtId="171" fontId="6" fillId="0" borderId="0" xfId="4" applyNumberFormat="1" applyFont="1" applyFill="1"/>
    <xf numFmtId="0" fontId="17" fillId="0" borderId="0" xfId="4" applyNumberFormat="1" applyFont="1" applyFill="1" applyAlignment="1">
      <alignment horizontal="centerContinuous"/>
    </xf>
    <xf numFmtId="0" fontId="6" fillId="0" borderId="0" xfId="4" applyFont="1" applyFill="1" applyAlignment="1">
      <alignment horizontal="centerContinuous"/>
    </xf>
    <xf numFmtId="3" fontId="0" fillId="0" borderId="13" xfId="0" applyNumberFormat="1" applyFill="1" applyBorder="1" applyAlignment="1">
      <alignment horizontal="center"/>
    </xf>
    <xf numFmtId="4" fontId="0" fillId="0" borderId="13" xfId="0" applyNumberFormat="1" applyFill="1" applyBorder="1" applyAlignment="1">
      <alignment horizontal="center"/>
    </xf>
    <xf numFmtId="0" fontId="0" fillId="0" borderId="13" xfId="0" applyNumberFormat="1" applyFill="1" applyBorder="1" applyAlignment="1">
      <alignment horizontal="center"/>
    </xf>
    <xf numFmtId="0" fontId="6" fillId="0" borderId="3" xfId="4" applyFont="1" applyBorder="1" applyAlignment="1">
      <alignment horizontal="center" vertical="center"/>
    </xf>
    <xf numFmtId="0" fontId="6" fillId="0" borderId="3" xfId="4" applyNumberFormat="1" applyFont="1" applyBorder="1" applyAlignment="1">
      <alignment vertical="center"/>
    </xf>
    <xf numFmtId="0" fontId="6" fillId="0" borderId="3" xfId="4" applyNumberFormat="1" applyFont="1" applyBorder="1" applyAlignment="1">
      <alignment horizontal="center" vertical="center"/>
    </xf>
    <xf numFmtId="0" fontId="6" fillId="0" borderId="0" xfId="4" applyNumberFormat="1" applyFont="1" applyFill="1" applyBorder="1"/>
    <xf numFmtId="0" fontId="6" fillId="0" borderId="13" xfId="4" applyNumberFormat="1" applyFont="1" applyFill="1" applyBorder="1" applyAlignment="1">
      <alignment horizontal="center"/>
    </xf>
    <xf numFmtId="0" fontId="6" fillId="0" borderId="2" xfId="4" applyFont="1" applyBorder="1" applyAlignment="1">
      <alignment horizontal="center" vertical="center"/>
    </xf>
    <xf numFmtId="0" fontId="28" fillId="0" borderId="0" xfId="4" applyFont="1" applyBorder="1"/>
    <xf numFmtId="0" fontId="6" fillId="0" borderId="2" xfId="4" applyNumberFormat="1" applyFont="1" applyFill="1" applyBorder="1" applyAlignment="1">
      <alignment horizontal="center" vertical="center"/>
    </xf>
    <xf numFmtId="0" fontId="6" fillId="0" borderId="0" xfId="4" applyNumberFormat="1" applyFont="1" applyFill="1" applyAlignment="1">
      <alignment horizontal="center"/>
    </xf>
    <xf numFmtId="0" fontId="6" fillId="0" borderId="2" xfId="4" applyNumberFormat="1" applyFont="1" applyBorder="1" applyAlignment="1">
      <alignment vertical="center"/>
    </xf>
    <xf numFmtId="3" fontId="38" fillId="0" borderId="0" xfId="0" applyNumberFormat="1" applyFont="1" applyFill="1" applyBorder="1"/>
    <xf numFmtId="0" fontId="22" fillId="0" borderId="0" xfId="4" applyNumberFormat="1" applyFont="1" applyFill="1" applyBorder="1"/>
    <xf numFmtId="0" fontId="6" fillId="0" borderId="3" xfId="4" applyFont="1" applyFill="1" applyBorder="1" applyAlignment="1">
      <alignment vertical="center"/>
    </xf>
    <xf numFmtId="0" fontId="6" fillId="0" borderId="2" xfId="4" applyFont="1" applyFill="1" applyBorder="1" applyAlignment="1">
      <alignment vertical="center"/>
    </xf>
    <xf numFmtId="174" fontId="6" fillId="0" borderId="2" xfId="8" applyNumberFormat="1" applyFont="1" applyFill="1" applyBorder="1" applyAlignment="1">
      <alignment horizontal="center" vertical="center"/>
    </xf>
    <xf numFmtId="0" fontId="38" fillId="0" borderId="0" xfId="4" applyFont="1" applyFill="1"/>
    <xf numFmtId="0" fontId="6" fillId="0" borderId="2" xfId="4" applyFont="1" applyFill="1" applyBorder="1" applyAlignment="1">
      <alignment horizontal="justify" vertical="center" wrapText="1"/>
    </xf>
    <xf numFmtId="0" fontId="6" fillId="0" borderId="17" xfId="4" applyFont="1" applyBorder="1" applyAlignment="1">
      <alignment horizontal="center" vertical="center"/>
    </xf>
    <xf numFmtId="0" fontId="6" fillId="0" borderId="17" xfId="4" applyFont="1" applyFill="1" applyBorder="1" applyAlignment="1">
      <alignment vertical="center"/>
    </xf>
    <xf numFmtId="0" fontId="39" fillId="0" borderId="3" xfId="0" applyFont="1" applyFill="1" applyBorder="1" applyAlignment="1">
      <alignment horizontal="center" vertical="center"/>
    </xf>
    <xf numFmtId="175" fontId="6" fillId="0" borderId="3" xfId="4" applyNumberFormat="1" applyFont="1" applyFill="1" applyBorder="1" applyAlignment="1">
      <alignment horizontal="center" vertical="center"/>
    </xf>
    <xf numFmtId="0" fontId="39" fillId="0" borderId="2" xfId="0" applyFont="1" applyFill="1" applyBorder="1" applyAlignment="1">
      <alignment horizontal="center" vertical="center"/>
    </xf>
    <xf numFmtId="0" fontId="6" fillId="0" borderId="18" xfId="4" applyFont="1" applyFill="1" applyBorder="1" applyAlignment="1">
      <alignment vertical="center"/>
    </xf>
    <xf numFmtId="175" fontId="6" fillId="0" borderId="18" xfId="4" applyNumberFormat="1" applyFont="1" applyFill="1" applyBorder="1" applyAlignment="1">
      <alignment horizontal="center" vertical="center"/>
    </xf>
    <xf numFmtId="9" fontId="6" fillId="0" borderId="2" xfId="0" applyNumberFormat="1" applyFont="1" applyFill="1" applyBorder="1" applyAlignment="1">
      <alignment horizontal="center" vertical="center"/>
    </xf>
    <xf numFmtId="171" fontId="34" fillId="0" borderId="0" xfId="4" applyNumberFormat="1" applyFont="1" applyFill="1" applyAlignment="1"/>
    <xf numFmtId="0" fontId="0" fillId="0" borderId="0" xfId="0" applyFill="1" applyAlignment="1">
      <alignment vertical="center"/>
    </xf>
    <xf numFmtId="0" fontId="40" fillId="0" borderId="0" xfId="0" applyFont="1" applyFill="1" applyAlignment="1">
      <alignment vertical="center"/>
    </xf>
    <xf numFmtId="3" fontId="38" fillId="0" borderId="0" xfId="0" applyNumberFormat="1" applyFont="1" applyFill="1"/>
    <xf numFmtId="0" fontId="38" fillId="0" borderId="0" xfId="0" applyFont="1" applyFill="1"/>
    <xf numFmtId="0" fontId="17" fillId="3" borderId="1" xfId="4" applyFont="1" applyFill="1" applyBorder="1" applyAlignment="1">
      <alignment vertical="center"/>
    </xf>
    <xf numFmtId="0" fontId="0" fillId="0" borderId="0" xfId="0" applyFill="1" applyAlignment="1">
      <alignment horizontal="center" vertical="center"/>
    </xf>
    <xf numFmtId="3" fontId="6" fillId="0" borderId="3" xfId="1" applyNumberFormat="1" applyFont="1" applyFill="1" applyBorder="1" applyAlignment="1">
      <alignment horizontal="center" vertical="center"/>
    </xf>
    <xf numFmtId="3" fontId="6" fillId="0" borderId="2" xfId="1" applyNumberFormat="1" applyFont="1" applyFill="1" applyBorder="1" applyAlignment="1">
      <alignment horizontal="center" vertical="center"/>
    </xf>
    <xf numFmtId="3" fontId="0" fillId="0" borderId="0" xfId="0" applyNumberFormat="1" applyFill="1" applyAlignment="1">
      <alignment horizontal="center" vertical="center"/>
    </xf>
    <xf numFmtId="171" fontId="6" fillId="0" borderId="0" xfId="4" applyNumberFormat="1" applyFont="1" applyFill="1" applyAlignment="1">
      <alignment horizontal="center"/>
    </xf>
    <xf numFmtId="0" fontId="6" fillId="0" borderId="0" xfId="4" quotePrefix="1" applyNumberFormat="1" applyFont="1" applyFill="1"/>
    <xf numFmtId="0" fontId="6" fillId="0" borderId="17" xfId="4" applyFont="1" applyBorder="1" applyAlignment="1">
      <alignment vertical="center"/>
    </xf>
    <xf numFmtId="0" fontId="6" fillId="0" borderId="0" xfId="4" applyNumberFormat="1" applyFont="1"/>
    <xf numFmtId="0" fontId="6" fillId="0" borderId="0" xfId="4" applyNumberFormat="1" applyFont="1" applyAlignment="1"/>
    <xf numFmtId="0" fontId="41" fillId="0" borderId="0" xfId="0" applyFont="1" applyAlignment="1">
      <alignment horizontal="centerContinuous" vertical="center"/>
    </xf>
    <xf numFmtId="3" fontId="41" fillId="0" borderId="0" xfId="0" applyNumberFormat="1" applyFont="1" applyAlignment="1">
      <alignment horizontal="centerContinuous" vertical="center"/>
    </xf>
    <xf numFmtId="0" fontId="42" fillId="0" borderId="0" xfId="0" applyFont="1" applyFill="1" applyAlignment="1">
      <alignment vertical="center"/>
    </xf>
    <xf numFmtId="0" fontId="37" fillId="0" borderId="0" xfId="0" applyFont="1" applyFill="1"/>
    <xf numFmtId="0" fontId="44" fillId="0" borderId="0" xfId="0" applyFont="1" applyAlignment="1">
      <alignment horizontal="centerContinuous" vertical="center"/>
    </xf>
    <xf numFmtId="3" fontId="44" fillId="0" borderId="0" xfId="0" applyNumberFormat="1" applyFont="1" applyAlignment="1">
      <alignment horizontal="centerContinuous" vertical="center"/>
    </xf>
    <xf numFmtId="0" fontId="21" fillId="0" borderId="0" xfId="0" applyFont="1" applyFill="1" applyAlignment="1">
      <alignment vertical="center"/>
    </xf>
    <xf numFmtId="0" fontId="43" fillId="0" borderId="0" xfId="0" applyFont="1" applyAlignment="1">
      <alignment vertical="center"/>
    </xf>
    <xf numFmtId="3" fontId="43" fillId="0" borderId="0" xfId="0" applyNumberFormat="1" applyFont="1" applyAlignment="1">
      <alignment vertical="center"/>
    </xf>
    <xf numFmtId="3" fontId="22" fillId="0" borderId="0" xfId="0" applyNumberFormat="1" applyFont="1" applyBorder="1" applyAlignment="1">
      <alignment horizontal="right" vertical="center"/>
    </xf>
    <xf numFmtId="0" fontId="45" fillId="4" borderId="13" xfId="4" applyFont="1" applyFill="1" applyBorder="1" applyAlignment="1">
      <alignment horizontal="center" vertical="center"/>
    </xf>
    <xf numFmtId="0" fontId="46" fillId="0" borderId="19" xfId="4" applyFont="1" applyFill="1" applyBorder="1" applyAlignment="1">
      <alignment horizontal="center" vertical="center"/>
    </xf>
    <xf numFmtId="0" fontId="47" fillId="0" borderId="20" xfId="0" applyFont="1" applyFill="1" applyBorder="1" applyAlignment="1">
      <alignment horizontal="center" vertical="center" wrapText="1"/>
    </xf>
    <xf numFmtId="3" fontId="17" fillId="0" borderId="20" xfId="0" applyNumberFormat="1" applyFont="1" applyFill="1" applyBorder="1" applyAlignment="1">
      <alignment horizontal="center" vertical="center" wrapText="1"/>
    </xf>
    <xf numFmtId="0" fontId="6" fillId="0" borderId="19" xfId="0" applyFont="1" applyFill="1" applyBorder="1" applyAlignment="1">
      <alignment vertical="center"/>
    </xf>
    <xf numFmtId="0" fontId="17" fillId="0" borderId="2" xfId="0" applyFont="1" applyBorder="1" applyAlignment="1">
      <alignment horizontal="center" vertical="center"/>
    </xf>
    <xf numFmtId="0" fontId="17" fillId="0" borderId="2" xfId="0" applyFont="1" applyBorder="1" applyAlignment="1">
      <alignment horizontal="justify" vertical="center" wrapText="1"/>
    </xf>
    <xf numFmtId="0" fontId="48" fillId="0" borderId="2" xfId="0" applyFont="1" applyBorder="1" applyAlignment="1">
      <alignment horizontal="center" vertical="center"/>
    </xf>
    <xf numFmtId="0" fontId="6" fillId="0" borderId="2" xfId="0" applyFont="1" applyBorder="1" applyAlignment="1">
      <alignment horizontal="center" vertical="center"/>
    </xf>
    <xf numFmtId="3" fontId="17" fillId="0" borderId="2" xfId="0" applyNumberFormat="1" applyFont="1" applyBorder="1" applyAlignment="1">
      <alignment vertical="center"/>
    </xf>
    <xf numFmtId="0" fontId="6" fillId="0" borderId="2" xfId="0" applyFont="1" applyBorder="1" applyAlignment="1">
      <alignment horizontal="right" vertical="center"/>
    </xf>
    <xf numFmtId="0" fontId="6" fillId="0" borderId="2" xfId="0" applyFont="1" applyBorder="1" applyAlignment="1">
      <alignment horizontal="justify" vertical="center" wrapText="1"/>
    </xf>
    <xf numFmtId="9" fontId="48" fillId="0" borderId="2" xfId="8" applyFont="1" applyBorder="1" applyAlignment="1">
      <alignment horizontal="center" vertical="center"/>
    </xf>
    <xf numFmtId="3" fontId="6" fillId="0" borderId="2" xfId="0" applyNumberFormat="1" applyFont="1" applyBorder="1" applyAlignment="1">
      <alignment vertical="center"/>
    </xf>
    <xf numFmtId="176" fontId="48" fillId="0" borderId="2" xfId="8" applyNumberFormat="1" applyFont="1" applyBorder="1" applyAlignment="1">
      <alignment horizontal="center" vertical="center"/>
    </xf>
    <xf numFmtId="0" fontId="6" fillId="0" borderId="19" xfId="0" applyFont="1" applyFill="1" applyBorder="1" applyAlignment="1">
      <alignment horizontal="center" vertical="center"/>
    </xf>
    <xf numFmtId="0" fontId="43" fillId="0" borderId="2" xfId="0" applyFont="1" applyBorder="1" applyAlignment="1">
      <alignment horizontal="center" vertical="center"/>
    </xf>
    <xf numFmtId="0" fontId="17" fillId="0" borderId="2" xfId="0" applyFont="1" applyBorder="1" applyAlignment="1">
      <alignment horizontal="center" vertical="center" wrapText="1"/>
    </xf>
    <xf numFmtId="0" fontId="47" fillId="0" borderId="2" xfId="0" applyFont="1" applyBorder="1" applyAlignment="1">
      <alignment horizontal="center" vertical="center"/>
    </xf>
    <xf numFmtId="0" fontId="49" fillId="4" borderId="17" xfId="0" applyFont="1" applyFill="1" applyBorder="1" applyAlignment="1">
      <alignment horizontal="center" vertical="center"/>
    </xf>
    <xf numFmtId="0" fontId="13" fillId="4" borderId="17" xfId="0" applyFont="1" applyFill="1" applyBorder="1" applyAlignment="1">
      <alignment horizontal="center" vertical="center" wrapText="1"/>
    </xf>
    <xf numFmtId="3" fontId="49" fillId="4" borderId="17" xfId="0" applyNumberFormat="1" applyFont="1" applyFill="1" applyBorder="1" applyAlignment="1">
      <alignment vertical="center"/>
    </xf>
    <xf numFmtId="0" fontId="17"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3" fontId="17" fillId="0" borderId="0" xfId="0" applyNumberFormat="1" applyFont="1" applyFill="1" applyBorder="1" applyAlignment="1">
      <alignment vertical="center"/>
    </xf>
    <xf numFmtId="0" fontId="6" fillId="0" borderId="0" xfId="0" applyFont="1" applyFill="1" applyBorder="1" applyAlignment="1">
      <alignment vertical="center"/>
    </xf>
    <xf numFmtId="3" fontId="17" fillId="0" borderId="0" xfId="0" applyNumberFormat="1" applyFont="1" applyFill="1" applyBorder="1" applyAlignment="1">
      <alignment horizontal="centerContinuous" vertical="center"/>
    </xf>
    <xf numFmtId="0" fontId="38" fillId="0" borderId="0" xfId="0" applyFont="1" applyAlignment="1">
      <alignment horizontal="centerContinuous"/>
    </xf>
    <xf numFmtId="0" fontId="17" fillId="0" borderId="0" xfId="0" applyFont="1" applyFill="1" applyBorder="1" applyAlignment="1">
      <alignment horizontal="centerContinuous" vertical="center"/>
    </xf>
    <xf numFmtId="0" fontId="38" fillId="0" borderId="0" xfId="0" applyFont="1"/>
    <xf numFmtId="0" fontId="15" fillId="0" borderId="0" xfId="0" applyFont="1" applyAlignment="1">
      <alignment horizontal="centerContinuous" vertical="center"/>
    </xf>
    <xf numFmtId="3" fontId="15" fillId="0" borderId="0" xfId="0" applyNumberFormat="1" applyFont="1" applyAlignment="1">
      <alignment horizontal="centerContinuous" vertical="center"/>
    </xf>
    <xf numFmtId="0" fontId="22" fillId="0" borderId="0" xfId="4" applyFont="1" applyAlignment="1">
      <alignment horizontal="right" vertical="center"/>
    </xf>
    <xf numFmtId="0" fontId="17" fillId="0" borderId="2" xfId="0" applyFont="1" applyBorder="1" applyAlignment="1">
      <alignment vertical="center" wrapText="1"/>
    </xf>
    <xf numFmtId="0" fontId="17" fillId="0" borderId="19" xfId="0" applyFont="1" applyFill="1" applyBorder="1" applyAlignment="1">
      <alignment vertical="center"/>
    </xf>
    <xf numFmtId="0" fontId="6" fillId="0" borderId="2" xfId="0" applyFont="1" applyBorder="1" applyAlignment="1">
      <alignment vertical="center" wrapText="1"/>
    </xf>
    <xf numFmtId="0" fontId="6" fillId="0" borderId="2" xfId="0" applyFont="1" applyBorder="1" applyAlignment="1">
      <alignment horizontal="center" vertical="center" wrapText="1"/>
    </xf>
    <xf numFmtId="176" fontId="6" fillId="0" borderId="2" xfId="8" applyNumberFormat="1" applyFont="1" applyBorder="1" applyAlignment="1">
      <alignment vertical="center" wrapText="1"/>
    </xf>
    <xf numFmtId="176" fontId="6" fillId="0" borderId="2" xfId="8" applyNumberFormat="1" applyFont="1" applyBorder="1" applyAlignment="1">
      <alignment horizontal="center" vertical="center" wrapText="1"/>
    </xf>
    <xf numFmtId="0" fontId="49" fillId="4" borderId="17" xfId="0" applyFont="1" applyFill="1" applyBorder="1" applyAlignment="1">
      <alignment horizontal="center" vertical="center" wrapText="1"/>
    </xf>
    <xf numFmtId="0" fontId="50" fillId="0" borderId="0" xfId="0" applyFont="1" applyAlignment="1">
      <alignment horizontal="centerContinuous" vertical="center"/>
    </xf>
    <xf numFmtId="3" fontId="50" fillId="0" borderId="0" xfId="0" applyNumberFormat="1" applyFont="1" applyAlignment="1">
      <alignment horizontal="centerContinuous" vertical="center"/>
    </xf>
    <xf numFmtId="0" fontId="47" fillId="0" borderId="20" xfId="0" applyFont="1" applyFill="1" applyBorder="1" applyAlignment="1">
      <alignment horizontal="justify" vertical="center" wrapText="1"/>
    </xf>
    <xf numFmtId="0" fontId="17" fillId="0" borderId="19" xfId="0" applyFont="1" applyFill="1" applyBorder="1" applyAlignment="1">
      <alignment horizontal="center" vertical="center" wrapText="1"/>
    </xf>
    <xf numFmtId="0" fontId="17" fillId="0" borderId="0" xfId="0" applyFont="1" applyBorder="1" applyAlignment="1">
      <alignment vertical="center"/>
    </xf>
    <xf numFmtId="0" fontId="6" fillId="0" borderId="0" xfId="0" applyFont="1" applyBorder="1" applyAlignment="1">
      <alignment vertical="center"/>
    </xf>
    <xf numFmtId="0" fontId="17" fillId="0" borderId="19" xfId="0" applyFont="1" applyBorder="1" applyAlignment="1">
      <alignment vertical="center"/>
    </xf>
    <xf numFmtId="0" fontId="6" fillId="0" borderId="19" xfId="0" applyFont="1" applyBorder="1" applyAlignment="1">
      <alignment vertical="center"/>
    </xf>
    <xf numFmtId="0" fontId="6" fillId="0" borderId="0" xfId="0" applyFont="1" applyFill="1" applyProtection="1">
      <protection hidden="1"/>
    </xf>
    <xf numFmtId="0" fontId="36" fillId="0" borderId="0" xfId="0" applyFont="1" applyFill="1" applyAlignment="1" applyProtection="1">
      <alignment horizontal="centerContinuous" vertical="center"/>
      <protection hidden="1"/>
    </xf>
    <xf numFmtId="49"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pplyProtection="1">
      <alignment horizontal="center" vertical="center"/>
      <protection hidden="1"/>
    </xf>
    <xf numFmtId="0" fontId="6" fillId="0" borderId="3" xfId="0" applyFont="1" applyFill="1" applyBorder="1" applyAlignment="1" applyProtection="1">
      <alignment horizontal="left"/>
      <protection hidden="1"/>
    </xf>
    <xf numFmtId="0" fontId="6" fillId="0" borderId="0" xfId="0" applyFont="1" applyFill="1" applyAlignment="1" applyProtection="1">
      <alignment vertical="center"/>
      <protection hidden="1"/>
    </xf>
    <xf numFmtId="49" fontId="6" fillId="0" borderId="0" xfId="0" applyNumberFormat="1" applyFont="1" applyAlignment="1">
      <alignment horizontal="right" vertical="center"/>
    </xf>
    <xf numFmtId="0" fontId="6" fillId="0" borderId="2" xfId="0" applyFont="1" applyFill="1" applyBorder="1" applyAlignment="1" applyProtection="1">
      <alignment horizontal="left"/>
      <protection hidden="1"/>
    </xf>
    <xf numFmtId="49" fontId="6" fillId="0" borderId="21" xfId="0" applyNumberFormat="1" applyFont="1" applyBorder="1" applyAlignment="1">
      <alignment horizontal="center" vertical="center"/>
    </xf>
    <xf numFmtId="0" fontId="6" fillId="0" borderId="2" xfId="0" applyFont="1" applyFill="1" applyBorder="1" applyAlignment="1" applyProtection="1">
      <alignment horizontal="left" vertical="center"/>
      <protection hidden="1"/>
    </xf>
    <xf numFmtId="0" fontId="6" fillId="0" borderId="22" xfId="0" applyFont="1" applyFill="1" applyBorder="1" applyAlignment="1" applyProtection="1">
      <alignment vertical="center"/>
      <protection locked="0"/>
    </xf>
    <xf numFmtId="0" fontId="6" fillId="0" borderId="23" xfId="0" applyFont="1" applyFill="1" applyBorder="1" applyAlignment="1" applyProtection="1">
      <alignment vertical="center"/>
      <protection locked="0"/>
    </xf>
    <xf numFmtId="0" fontId="22" fillId="0" borderId="0" xfId="0" applyFont="1" applyFill="1" applyAlignment="1" applyProtection="1">
      <alignment vertical="center"/>
      <protection hidden="1"/>
    </xf>
    <xf numFmtId="0" fontId="6" fillId="0" borderId="4" xfId="0" applyFont="1" applyBorder="1" applyAlignment="1">
      <alignment horizontal="center" vertical="center"/>
    </xf>
    <xf numFmtId="0" fontId="6" fillId="0" borderId="4" xfId="0" applyFont="1" applyBorder="1" applyAlignment="1">
      <alignment vertical="center"/>
    </xf>
    <xf numFmtId="178" fontId="6" fillId="0" borderId="13" xfId="0" applyNumberFormat="1" applyFont="1" applyBorder="1" applyAlignment="1">
      <alignment horizontal="right" vertical="center"/>
    </xf>
    <xf numFmtId="0" fontId="6" fillId="0" borderId="13" xfId="0" applyNumberFormat="1" applyFont="1" applyBorder="1" applyAlignment="1">
      <alignment horizontal="right" vertical="center"/>
    </xf>
    <xf numFmtId="1" fontId="6" fillId="0" borderId="13" xfId="0" applyNumberFormat="1" applyFont="1" applyBorder="1" applyAlignment="1">
      <alignment horizontal="right" vertical="center"/>
    </xf>
    <xf numFmtId="179" fontId="6" fillId="0" borderId="13" xfId="0" applyNumberFormat="1" applyFont="1" applyBorder="1" applyAlignment="1">
      <alignment horizontal="right" vertical="center"/>
    </xf>
    <xf numFmtId="1" fontId="6" fillId="0" borderId="13" xfId="0" applyNumberFormat="1" applyFont="1" applyBorder="1" applyAlignment="1">
      <alignment horizontal="center" vertical="center"/>
    </xf>
    <xf numFmtId="49" fontId="6" fillId="0" borderId="13" xfId="0" applyNumberFormat="1" applyFont="1" applyBorder="1" applyAlignment="1">
      <alignment vertical="center"/>
    </xf>
    <xf numFmtId="180" fontId="6" fillId="0" borderId="13" xfId="0" applyNumberFormat="1" applyFont="1" applyBorder="1" applyAlignment="1">
      <alignment vertical="center"/>
    </xf>
    <xf numFmtId="0" fontId="6" fillId="0" borderId="13" xfId="0" applyNumberFormat="1" applyFont="1" applyBorder="1" applyAlignment="1">
      <alignment vertical="center"/>
    </xf>
    <xf numFmtId="181" fontId="6" fillId="0" borderId="13" xfId="0" applyNumberFormat="1" applyFont="1" applyBorder="1" applyAlignment="1">
      <alignment vertical="center"/>
    </xf>
    <xf numFmtId="0" fontId="6" fillId="0" borderId="19" xfId="0" applyFont="1" applyFill="1" applyBorder="1" applyAlignment="1" applyProtection="1">
      <alignment vertical="center"/>
      <protection hidden="1"/>
    </xf>
    <xf numFmtId="0" fontId="6" fillId="0" borderId="0" xfId="0" applyFont="1" applyFill="1" applyBorder="1" applyAlignment="1" applyProtection="1">
      <alignment vertical="center"/>
      <protection hidden="1"/>
    </xf>
    <xf numFmtId="0" fontId="6" fillId="0" borderId="17" xfId="0" applyFont="1" applyFill="1" applyBorder="1" applyAlignment="1" applyProtection="1">
      <alignment horizontal="left" vertical="center"/>
      <protection hidden="1"/>
    </xf>
    <xf numFmtId="0" fontId="6" fillId="0" borderId="24" xfId="0" applyFont="1" applyFill="1" applyBorder="1" applyAlignment="1" applyProtection="1">
      <alignment vertical="center"/>
      <protection locked="0"/>
    </xf>
    <xf numFmtId="0" fontId="6" fillId="0" borderId="25" xfId="0" applyFont="1" applyFill="1" applyBorder="1" applyAlignment="1" applyProtection="1">
      <alignment vertical="center"/>
      <protection locked="0"/>
    </xf>
    <xf numFmtId="0" fontId="6" fillId="0" borderId="0" xfId="0" applyFont="1" applyFill="1" applyAlignment="1" applyProtection="1">
      <alignment horizontal="right" vertical="center"/>
      <protection hidden="1"/>
    </xf>
    <xf numFmtId="183" fontId="6" fillId="0" borderId="13" xfId="0" applyNumberFormat="1" applyFont="1" applyBorder="1" applyAlignment="1">
      <alignment vertical="center"/>
    </xf>
    <xf numFmtId="1" fontId="6" fillId="0" borderId="13" xfId="0" applyNumberFormat="1" applyFont="1" applyBorder="1" applyAlignment="1">
      <alignment vertical="center"/>
    </xf>
    <xf numFmtId="179" fontId="6" fillId="0" borderId="13" xfId="0" applyNumberFormat="1" applyFont="1" applyBorder="1" applyAlignment="1">
      <alignment vertical="center"/>
    </xf>
    <xf numFmtId="0" fontId="6" fillId="0" borderId="13" xfId="0" applyFont="1" applyFill="1" applyBorder="1" applyProtection="1">
      <protection hidden="1"/>
    </xf>
    <xf numFmtId="0" fontId="6" fillId="0" borderId="13" xfId="0" applyFont="1" applyBorder="1" applyAlignment="1">
      <alignment vertical="center"/>
    </xf>
    <xf numFmtId="0" fontId="6" fillId="0" borderId="0" xfId="0" applyFont="1" applyFill="1" applyAlignment="1" applyProtection="1">
      <alignment horizontal="right"/>
      <protection hidden="1"/>
    </xf>
    <xf numFmtId="0" fontId="6" fillId="0" borderId="0" xfId="0" applyFont="1" applyFill="1" applyAlignment="1" applyProtection="1">
      <alignment horizontal="center"/>
      <protection hidden="1"/>
    </xf>
    <xf numFmtId="49" fontId="48" fillId="0" borderId="0" xfId="0" applyNumberFormat="1" applyFont="1" applyFill="1" applyAlignment="1" applyProtection="1">
      <alignment vertical="center"/>
      <protection hidden="1"/>
    </xf>
    <xf numFmtId="0" fontId="6" fillId="0" borderId="0" xfId="0" applyFont="1" applyFill="1" applyProtection="1">
      <protection locked="0"/>
    </xf>
    <xf numFmtId="0" fontId="6" fillId="0" borderId="21" xfId="0" applyFont="1" applyBorder="1" applyAlignment="1">
      <alignment horizontal="center" vertical="center"/>
    </xf>
    <xf numFmtId="49" fontId="6" fillId="0" borderId="1" xfId="0" applyNumberFormat="1" applyFont="1" applyBorder="1" applyAlignment="1">
      <alignment horizontal="centerContinuous" vertical="center"/>
    </xf>
    <xf numFmtId="0" fontId="6" fillId="0" borderId="14" xfId="0" applyFont="1" applyBorder="1" applyAlignment="1">
      <alignment horizontal="centerContinuous" vertical="center"/>
    </xf>
    <xf numFmtId="0" fontId="6" fillId="0" borderId="15" xfId="0" applyFont="1" applyBorder="1" applyAlignment="1">
      <alignment horizontal="centerContinuous" vertical="center"/>
    </xf>
    <xf numFmtId="49" fontId="6" fillId="0" borderId="4" xfId="0" applyNumberFormat="1" applyFont="1" applyBorder="1" applyAlignment="1">
      <alignment horizontal="center" vertical="center"/>
    </xf>
    <xf numFmtId="0" fontId="6" fillId="0" borderId="13" xfId="0" applyFont="1" applyBorder="1" applyAlignment="1">
      <alignment horizontal="center" vertical="center"/>
    </xf>
    <xf numFmtId="2" fontId="6" fillId="5" borderId="13" xfId="0" applyNumberFormat="1" applyFont="1" applyFill="1" applyBorder="1" applyAlignment="1">
      <alignment vertical="center"/>
    </xf>
    <xf numFmtId="2" fontId="6" fillId="0" borderId="13" xfId="0" applyNumberFormat="1" applyFont="1" applyBorder="1" applyAlignment="1">
      <alignment vertical="center"/>
    </xf>
    <xf numFmtId="0" fontId="6" fillId="0" borderId="0" xfId="0" applyFont="1" applyAlignment="1" applyProtection="1">
      <alignment vertical="center"/>
      <protection locked="0"/>
    </xf>
    <xf numFmtId="0" fontId="0" fillId="0" borderId="0" xfId="0" applyFill="1" applyAlignment="1" applyProtection="1">
      <alignment vertical="center"/>
      <protection locked="0"/>
    </xf>
    <xf numFmtId="0" fontId="6" fillId="0" borderId="1" xfId="0" applyFont="1" applyBorder="1" applyAlignment="1">
      <alignment horizontal="centerContinuous" vertical="center"/>
    </xf>
    <xf numFmtId="49" fontId="6" fillId="0" borderId="14" xfId="0" applyNumberFormat="1" applyFont="1" applyBorder="1" applyAlignment="1">
      <alignment horizontal="centerContinuous" vertical="center"/>
    </xf>
    <xf numFmtId="0" fontId="6" fillId="5" borderId="13" xfId="0" applyNumberFormat="1" applyFont="1" applyFill="1" applyBorder="1" applyAlignment="1">
      <alignment vertical="center"/>
    </xf>
    <xf numFmtId="0" fontId="6" fillId="5" borderId="13" xfId="0" applyFont="1" applyFill="1" applyBorder="1" applyAlignment="1">
      <alignment vertical="center"/>
    </xf>
    <xf numFmtId="0" fontId="6" fillId="0" borderId="26" xfId="0" applyFont="1" applyBorder="1" applyAlignment="1">
      <alignment horizontal="centerContinuous" vertical="center"/>
    </xf>
    <xf numFmtId="0" fontId="6" fillId="0" borderId="27" xfId="0" applyFont="1" applyBorder="1" applyAlignment="1">
      <alignment horizontal="centerContinuous" vertical="center"/>
    </xf>
    <xf numFmtId="0" fontId="6" fillId="0" borderId="28" xfId="0" applyFont="1" applyBorder="1" applyAlignment="1">
      <alignment horizontal="centerContinuous" vertical="center"/>
    </xf>
    <xf numFmtId="0" fontId="6" fillId="0" borderId="20" xfId="0" applyFont="1" applyBorder="1" applyAlignment="1">
      <alignment horizontal="center" vertical="center"/>
    </xf>
    <xf numFmtId="49" fontId="6" fillId="0" borderId="29" xfId="0" applyNumberFormat="1" applyFont="1" applyBorder="1" applyAlignment="1">
      <alignment horizontal="centerContinuous" vertical="center"/>
    </xf>
    <xf numFmtId="49" fontId="6" fillId="0" borderId="30" xfId="0" applyNumberFormat="1" applyFont="1" applyBorder="1" applyAlignment="1">
      <alignment horizontal="centerContinuous" vertical="center"/>
    </xf>
    <xf numFmtId="49" fontId="6" fillId="0" borderId="31" xfId="0" applyNumberFormat="1" applyFont="1" applyBorder="1" applyAlignment="1">
      <alignment horizontal="centerContinuous" vertical="center"/>
    </xf>
    <xf numFmtId="178" fontId="6" fillId="0" borderId="13" xfId="0" applyNumberFormat="1" applyFont="1" applyBorder="1" applyAlignment="1">
      <alignment vertical="center"/>
    </xf>
    <xf numFmtId="49" fontId="6" fillId="0" borderId="13" xfId="0" applyNumberFormat="1" applyFont="1" applyBorder="1" applyAlignment="1">
      <alignment horizontal="centerContinuous" vertical="center"/>
    </xf>
    <xf numFmtId="0" fontId="6" fillId="0" borderId="13" xfId="0" applyFont="1" applyBorder="1" applyAlignment="1">
      <alignment horizontal="centerContinuous" vertical="center"/>
    </xf>
    <xf numFmtId="0" fontId="0" fillId="0" borderId="0" xfId="0" applyAlignment="1">
      <alignment horizontal="centerContinuous"/>
    </xf>
    <xf numFmtId="0" fontId="6" fillId="0" borderId="0" xfId="0" applyFont="1" applyFill="1" applyAlignment="1">
      <alignment horizontal="left" vertical="center" indent="8"/>
    </xf>
    <xf numFmtId="3" fontId="6" fillId="0" borderId="0" xfId="0" applyNumberFormat="1" applyFont="1" applyFill="1"/>
    <xf numFmtId="0" fontId="39" fillId="0" borderId="0" xfId="0" applyFont="1"/>
    <xf numFmtId="0" fontId="6" fillId="0" borderId="30" xfId="0" applyFont="1" applyFill="1" applyBorder="1" applyAlignment="1">
      <alignment horizontal="left" vertical="center" indent="8"/>
    </xf>
    <xf numFmtId="3" fontId="6" fillId="0" borderId="30" xfId="0" applyNumberFormat="1" applyFont="1" applyFill="1" applyBorder="1"/>
    <xf numFmtId="0" fontId="52" fillId="6" borderId="0" xfId="0" applyFont="1" applyFill="1" applyAlignment="1">
      <alignment horizontal="right" vertical="center"/>
    </xf>
    <xf numFmtId="3" fontId="52" fillId="0" borderId="0" xfId="0" applyNumberFormat="1" applyFont="1" applyFill="1"/>
    <xf numFmtId="0" fontId="39" fillId="0" borderId="0" xfId="0" applyFont="1" applyFill="1"/>
    <xf numFmtId="0" fontId="28" fillId="0" borderId="0" xfId="4" applyFont="1" applyFill="1" applyAlignment="1">
      <alignment horizontal="centerContinuous" vertical="center"/>
    </xf>
    <xf numFmtId="0" fontId="0" fillId="0" borderId="0" xfId="0" applyFill="1"/>
    <xf numFmtId="0" fontId="17" fillId="0" borderId="0" xfId="0" applyFont="1" applyFill="1" applyAlignment="1">
      <alignment horizontal="left" vertical="center"/>
    </xf>
    <xf numFmtId="0" fontId="17" fillId="0" borderId="0" xfId="4" applyFont="1" applyFill="1" applyAlignment="1">
      <alignment horizontal="left" vertical="center"/>
    </xf>
    <xf numFmtId="0" fontId="6" fillId="0" borderId="0" xfId="0" applyFont="1" applyFill="1" applyAlignment="1">
      <alignment horizontal="centerContinuous" vertical="center"/>
    </xf>
    <xf numFmtId="0" fontId="17" fillId="0" borderId="0" xfId="0" applyFont="1" applyFill="1" applyAlignment="1">
      <alignment horizontal="centerContinuous" vertical="center"/>
    </xf>
    <xf numFmtId="0" fontId="36" fillId="0" borderId="0" xfId="4" applyFont="1" applyFill="1" applyAlignment="1">
      <alignment horizontal="left" vertical="center"/>
    </xf>
    <xf numFmtId="0" fontId="39" fillId="0" borderId="0" xfId="0" applyFont="1" applyFill="1" applyAlignment="1">
      <alignment horizontal="right" vertical="center"/>
    </xf>
    <xf numFmtId="9" fontId="39" fillId="0" borderId="0" xfId="0" applyNumberFormat="1" applyFont="1" applyFill="1" applyAlignment="1">
      <alignment horizontal="left" vertical="center"/>
    </xf>
    <xf numFmtId="0" fontId="6" fillId="0" borderId="0" xfId="0" applyFont="1" applyFill="1"/>
    <xf numFmtId="0" fontId="17" fillId="0" borderId="0" xfId="0" applyFont="1" applyFill="1" applyAlignment="1">
      <alignment horizontal="centerContinuous"/>
    </xf>
    <xf numFmtId="0" fontId="6" fillId="0" borderId="0" xfId="0" applyFont="1" applyFill="1" applyAlignment="1">
      <alignment horizontal="right"/>
    </xf>
    <xf numFmtId="0" fontId="17" fillId="0" borderId="0" xfId="0" applyFont="1" applyFill="1" applyAlignment="1">
      <alignment horizontal="right"/>
    </xf>
    <xf numFmtId="0" fontId="17" fillId="0" borderId="0" xfId="0" applyFont="1" applyFill="1" applyAlignment="1">
      <alignment horizontal="left"/>
    </xf>
    <xf numFmtId="0" fontId="6" fillId="0" borderId="0" xfId="0" applyFont="1" applyFill="1" applyAlignment="1">
      <alignment horizontal="centerContinuous"/>
    </xf>
    <xf numFmtId="0" fontId="28" fillId="0" borderId="0" xfId="4" applyFont="1" applyFill="1" applyAlignment="1">
      <alignment horizontal="left" vertical="center"/>
    </xf>
    <xf numFmtId="0" fontId="6" fillId="6" borderId="0" xfId="0" applyFont="1" applyFill="1"/>
    <xf numFmtId="0" fontId="53" fillId="6" borderId="0" xfId="0" applyFont="1" applyFill="1"/>
    <xf numFmtId="9" fontId="6" fillId="6" borderId="0" xfId="8" applyFont="1" applyFill="1"/>
    <xf numFmtId="0" fontId="17" fillId="0" borderId="13" xfId="0" applyFont="1" applyFill="1" applyBorder="1" applyAlignment="1">
      <alignment horizontal="center" vertical="center"/>
    </xf>
    <xf numFmtId="0" fontId="17" fillId="0" borderId="13" xfId="0" applyFont="1" applyFill="1" applyBorder="1" applyAlignment="1">
      <alignment horizontal="centerContinuous" vertical="center"/>
    </xf>
    <xf numFmtId="0" fontId="6" fillId="0" borderId="13" xfId="0" applyFont="1" applyFill="1" applyBorder="1" applyAlignment="1">
      <alignment horizontal="center" vertical="center"/>
    </xf>
    <xf numFmtId="0" fontId="6" fillId="0" borderId="13" xfId="0" applyFont="1" applyFill="1" applyBorder="1" applyAlignment="1">
      <alignment horizontal="justify" vertical="center" wrapText="1"/>
    </xf>
    <xf numFmtId="0" fontId="6" fillId="6" borderId="1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7" xfId="0" applyFont="1" applyFill="1" applyBorder="1" applyAlignment="1">
      <alignment horizontal="center" vertical="center"/>
    </xf>
    <xf numFmtId="0" fontId="17" fillId="0" borderId="4"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8" xfId="0" applyFont="1" applyFill="1" applyBorder="1" applyAlignment="1">
      <alignment horizontal="justify" vertical="center" wrapText="1"/>
    </xf>
    <xf numFmtId="0" fontId="6" fillId="6" borderId="18"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justify" vertical="center" wrapText="1"/>
    </xf>
    <xf numFmtId="181" fontId="6" fillId="0" borderId="2" xfId="0" applyNumberFormat="1" applyFont="1" applyFill="1" applyBorder="1" applyAlignment="1">
      <alignment horizontal="center" vertical="center"/>
    </xf>
    <xf numFmtId="0" fontId="6" fillId="0" borderId="16" xfId="0" applyFont="1" applyFill="1" applyBorder="1" applyAlignment="1">
      <alignment horizontal="center" vertical="center"/>
    </xf>
    <xf numFmtId="0" fontId="6" fillId="0" borderId="16" xfId="0" applyFont="1" applyFill="1" applyBorder="1" applyAlignment="1">
      <alignment horizontal="justify" vertical="center" wrapText="1"/>
    </xf>
    <xf numFmtId="181" fontId="6" fillId="0" borderId="16" xfId="0" applyNumberFormat="1" applyFont="1" applyFill="1" applyBorder="1" applyAlignment="1">
      <alignment horizontal="center" vertical="center"/>
    </xf>
    <xf numFmtId="0" fontId="6" fillId="0" borderId="17" xfId="0" applyFont="1" applyFill="1" applyBorder="1" applyAlignment="1">
      <alignment horizontal="justify" vertical="center" wrapText="1"/>
    </xf>
    <xf numFmtId="0" fontId="6" fillId="0" borderId="17" xfId="0" applyFont="1" applyFill="1" applyBorder="1"/>
    <xf numFmtId="181" fontId="6" fillId="0" borderId="17" xfId="0" applyNumberFormat="1" applyFont="1" applyFill="1" applyBorder="1" applyAlignment="1">
      <alignment horizontal="center" vertical="center"/>
    </xf>
    <xf numFmtId="0" fontId="6" fillId="0" borderId="3" xfId="0" applyFont="1" applyFill="1" applyBorder="1" applyAlignment="1">
      <alignment horizontal="justify" vertical="center" wrapText="1"/>
    </xf>
    <xf numFmtId="3" fontId="6" fillId="0" borderId="3"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3" fontId="6" fillId="0" borderId="17" xfId="0" applyNumberFormat="1" applyFont="1" applyFill="1" applyBorder="1" applyAlignment="1">
      <alignment horizontal="center" vertical="center"/>
    </xf>
    <xf numFmtId="3" fontId="54" fillId="6" borderId="17" xfId="0" applyNumberFormat="1" applyFont="1" applyFill="1" applyBorder="1" applyAlignment="1">
      <alignment horizontal="center" vertical="center"/>
    </xf>
    <xf numFmtId="0" fontId="55" fillId="0" borderId="0" xfId="0" applyFont="1" applyFill="1" applyAlignment="1">
      <alignment horizontal="left" vertical="center"/>
    </xf>
    <xf numFmtId="0" fontId="6" fillId="0" borderId="0" xfId="0" applyFont="1" applyFill="1" applyAlignment="1">
      <alignment horizontal="right" vertical="center"/>
    </xf>
    <xf numFmtId="0" fontId="39" fillId="0" borderId="0" xfId="0" applyFont="1" applyAlignment="1">
      <alignment horizontal="right"/>
    </xf>
    <xf numFmtId="9" fontId="39" fillId="0" borderId="0" xfId="8" applyFont="1"/>
    <xf numFmtId="0" fontId="56" fillId="0" borderId="0" xfId="0" applyFont="1"/>
    <xf numFmtId="0" fontId="15" fillId="0" borderId="0" xfId="4" applyFont="1" applyAlignment="1">
      <alignment horizontal="centerContinuous" vertical="center"/>
    </xf>
    <xf numFmtId="0" fontId="57" fillId="0" borderId="0" xfId="4" applyFont="1" applyAlignment="1">
      <alignment horizontal="right" vertical="center"/>
    </xf>
    <xf numFmtId="0" fontId="46" fillId="6" borderId="13" xfId="4" applyFont="1" applyFill="1" applyBorder="1" applyAlignment="1">
      <alignment horizontal="center" vertical="center"/>
    </xf>
    <xf numFmtId="0" fontId="6" fillId="0" borderId="20" xfId="4" applyFont="1" applyBorder="1" applyAlignment="1">
      <alignment horizontal="center" vertical="center" wrapText="1"/>
    </xf>
    <xf numFmtId="0" fontId="38" fillId="0" borderId="20" xfId="4" applyFont="1" applyBorder="1" applyAlignment="1">
      <alignment vertical="center" wrapText="1"/>
    </xf>
    <xf numFmtId="184" fontId="6" fillId="0" borderId="20" xfId="4" applyNumberFormat="1" applyFont="1" applyBorder="1" applyAlignment="1">
      <alignment vertical="center" wrapText="1"/>
    </xf>
    <xf numFmtId="0" fontId="6" fillId="0" borderId="2" xfId="4" applyFont="1" applyBorder="1" applyAlignment="1">
      <alignment horizontal="center" vertical="center" wrapText="1"/>
    </xf>
    <xf numFmtId="0" fontId="6" fillId="0" borderId="2" xfId="4" applyFont="1" applyBorder="1" applyAlignment="1">
      <alignment vertical="center" wrapText="1"/>
    </xf>
    <xf numFmtId="184" fontId="6" fillId="0" borderId="2" xfId="4" applyNumberFormat="1" applyFont="1" applyBorder="1" applyAlignment="1">
      <alignment vertical="center" wrapText="1"/>
    </xf>
    <xf numFmtId="0" fontId="56" fillId="0" borderId="2" xfId="4" applyFont="1" applyBorder="1" applyAlignment="1">
      <alignment horizontal="center" vertical="center" wrapText="1"/>
    </xf>
    <xf numFmtId="0" fontId="38" fillId="0" borderId="2" xfId="4" applyFont="1" applyBorder="1" applyAlignment="1">
      <alignment vertical="center" wrapText="1"/>
    </xf>
    <xf numFmtId="0" fontId="52" fillId="0" borderId="2" xfId="4" applyFont="1" applyBorder="1" applyAlignment="1">
      <alignment horizontal="center" vertical="center" wrapText="1"/>
    </xf>
    <xf numFmtId="0" fontId="38" fillId="0" borderId="0" xfId="4" applyFont="1" applyAlignment="1">
      <alignment vertical="center"/>
    </xf>
    <xf numFmtId="3" fontId="6" fillId="0" borderId="2" xfId="4" applyNumberFormat="1" applyFont="1" applyBorder="1" applyAlignment="1">
      <alignment vertical="center" wrapText="1"/>
    </xf>
    <xf numFmtId="0" fontId="17" fillId="0" borderId="2" xfId="4" applyFont="1" applyBorder="1" applyAlignment="1">
      <alignment vertical="center" wrapText="1"/>
    </xf>
    <xf numFmtId="3" fontId="17" fillId="0" borderId="2" xfId="4" applyNumberFormat="1" applyFont="1" applyBorder="1" applyAlignment="1">
      <alignment vertical="center" wrapText="1"/>
    </xf>
    <xf numFmtId="0" fontId="43" fillId="0" borderId="2" xfId="4" applyFont="1" applyBorder="1" applyAlignment="1">
      <alignment horizontal="justify" vertical="center" wrapText="1"/>
    </xf>
    <xf numFmtId="0" fontId="38" fillId="6" borderId="2" xfId="4" applyFont="1" applyFill="1" applyBorder="1" applyAlignment="1">
      <alignment horizontal="center" vertical="center" wrapText="1"/>
    </xf>
    <xf numFmtId="0" fontId="58" fillId="6" borderId="2" xfId="4" applyFont="1" applyFill="1" applyBorder="1" applyAlignment="1">
      <alignment horizontal="center" vertical="center" wrapText="1"/>
    </xf>
    <xf numFmtId="0" fontId="6" fillId="6" borderId="2" xfId="4" applyFont="1" applyFill="1" applyBorder="1" applyAlignment="1">
      <alignment horizontal="center" vertical="center" wrapText="1"/>
    </xf>
    <xf numFmtId="3" fontId="17" fillId="6" borderId="2" xfId="4" applyNumberFormat="1" applyFont="1" applyFill="1" applyBorder="1" applyAlignment="1">
      <alignment vertical="center" wrapText="1"/>
    </xf>
    <xf numFmtId="0" fontId="38" fillId="6" borderId="2" xfId="4" applyFont="1" applyFill="1" applyBorder="1" applyAlignment="1">
      <alignment vertical="center" wrapText="1"/>
    </xf>
    <xf numFmtId="0" fontId="17" fillId="6" borderId="2" xfId="4" applyFont="1" applyFill="1" applyBorder="1" applyAlignment="1">
      <alignment horizontal="center" vertical="center" wrapText="1"/>
    </xf>
    <xf numFmtId="0" fontId="38" fillId="6" borderId="4" xfId="4" applyFont="1" applyFill="1" applyBorder="1" applyAlignment="1">
      <alignment horizontal="center" vertical="center" wrapText="1"/>
    </xf>
    <xf numFmtId="0" fontId="38" fillId="6" borderId="4" xfId="4" applyFont="1" applyFill="1" applyBorder="1" applyAlignment="1">
      <alignment vertical="center" wrapText="1"/>
    </xf>
    <xf numFmtId="0" fontId="6" fillId="6" borderId="4" xfId="4" applyFont="1" applyFill="1" applyBorder="1" applyAlignment="1">
      <alignment horizontal="center" vertical="center" wrapText="1"/>
    </xf>
    <xf numFmtId="184" fontId="6" fillId="6" borderId="4" xfId="4" applyNumberFormat="1" applyFont="1" applyFill="1" applyBorder="1" applyAlignment="1">
      <alignment vertical="center" wrapText="1"/>
    </xf>
    <xf numFmtId="0" fontId="58" fillId="0" borderId="0" xfId="4" applyFont="1" applyAlignment="1">
      <alignment vertical="center"/>
    </xf>
    <xf numFmtId="0" fontId="48" fillId="0" borderId="0" xfId="4" applyFont="1" applyAlignment="1">
      <alignment vertical="center"/>
    </xf>
    <xf numFmtId="0" fontId="47"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3" fontId="47" fillId="0" borderId="0" xfId="0" applyNumberFormat="1" applyFont="1" applyFill="1" applyBorder="1" applyAlignment="1">
      <alignment horizontal="centerContinuous" vertical="center"/>
    </xf>
    <xf numFmtId="0" fontId="48" fillId="0" borderId="0" xfId="4" applyFont="1" applyAlignment="1">
      <alignment horizontal="centerContinuous" vertical="center"/>
    </xf>
    <xf numFmtId="0" fontId="60" fillId="0" borderId="0" xfId="0" applyFont="1" applyAlignment="1">
      <alignment horizontal="left"/>
    </xf>
    <xf numFmtId="0" fontId="48" fillId="0" borderId="0" xfId="4" applyFont="1" applyAlignment="1">
      <alignment horizontal="left" vertical="center"/>
    </xf>
    <xf numFmtId="0" fontId="47" fillId="0" borderId="0" xfId="0" applyFont="1" applyFill="1" applyBorder="1" applyAlignment="1">
      <alignment horizontal="centerContinuous" vertical="center"/>
    </xf>
    <xf numFmtId="49" fontId="50" fillId="0" borderId="0" xfId="4" applyNumberFormat="1" applyFont="1" applyAlignment="1" applyProtection="1">
      <alignment horizontal="centerContinuous" vertical="center" wrapText="1"/>
      <protection locked="0"/>
    </xf>
    <xf numFmtId="0" fontId="50" fillId="0" borderId="0" xfId="4" applyFont="1" applyAlignment="1" applyProtection="1">
      <alignment horizontal="centerContinuous" vertical="center" wrapText="1"/>
      <protection locked="0"/>
    </xf>
    <xf numFmtId="164" fontId="50" fillId="0" borderId="0" xfId="4" applyNumberFormat="1" applyFont="1" applyAlignment="1" applyProtection="1">
      <alignment horizontal="centerContinuous" vertical="center"/>
      <protection locked="0"/>
    </xf>
    <xf numFmtId="0" fontId="50" fillId="0" borderId="0" xfId="4" applyFont="1" applyAlignment="1" applyProtection="1">
      <alignment horizontal="centerContinuous" vertical="center"/>
      <protection locked="0"/>
    </xf>
    <xf numFmtId="0" fontId="6" fillId="0" borderId="0" xfId="4" applyFont="1" applyAlignment="1" applyProtection="1">
      <alignment horizontal="centerContinuous" vertical="center"/>
      <protection locked="0"/>
    </xf>
    <xf numFmtId="184" fontId="6" fillId="0" borderId="0" xfId="4" applyNumberFormat="1" applyFont="1" applyAlignment="1" applyProtection="1">
      <alignment vertical="center"/>
      <protection locked="0"/>
    </xf>
    <xf numFmtId="0" fontId="6" fillId="0" borderId="0" xfId="4" applyFont="1" applyAlignment="1" applyProtection="1">
      <alignment vertical="center"/>
      <protection locked="0"/>
    </xf>
    <xf numFmtId="49" fontId="15" fillId="0" borderId="0" xfId="4" applyNumberFormat="1" applyFont="1" applyAlignment="1" applyProtection="1">
      <alignment horizontal="centerContinuous" vertical="center" wrapText="1"/>
      <protection locked="0"/>
    </xf>
    <xf numFmtId="0" fontId="15" fillId="0" borderId="0" xfId="4" applyFont="1" applyAlignment="1" applyProtection="1">
      <alignment horizontal="centerContinuous" vertical="center" wrapText="1"/>
      <protection locked="0"/>
    </xf>
    <xf numFmtId="164" fontId="15" fillId="0" borderId="0" xfId="4" applyNumberFormat="1" applyFont="1" applyAlignment="1" applyProtection="1">
      <alignment horizontal="centerContinuous" vertical="center"/>
      <protection locked="0"/>
    </xf>
    <xf numFmtId="0" fontId="15" fillId="0" borderId="0" xfId="4" applyFont="1" applyAlignment="1" applyProtection="1">
      <alignment horizontal="centerContinuous" vertical="center"/>
      <protection locked="0"/>
    </xf>
    <xf numFmtId="0" fontId="17" fillId="0" borderId="0" xfId="4" applyFont="1" applyAlignment="1" applyProtection="1">
      <alignment horizontal="centerContinuous" vertical="center"/>
      <protection locked="0"/>
    </xf>
    <xf numFmtId="0" fontId="34" fillId="0" borderId="0" xfId="4" applyFont="1" applyAlignment="1" applyProtection="1">
      <alignment vertical="center"/>
      <protection locked="0"/>
    </xf>
    <xf numFmtId="49" fontId="6" fillId="0" borderId="0" xfId="4" applyNumberFormat="1" applyFont="1" applyAlignment="1" applyProtection="1">
      <alignment vertical="center" wrapText="1"/>
      <protection locked="0"/>
    </xf>
    <xf numFmtId="0" fontId="6" fillId="0" borderId="0" xfId="4" applyFont="1" applyAlignment="1" applyProtection="1">
      <alignment vertical="center" wrapText="1"/>
      <protection locked="0"/>
    </xf>
    <xf numFmtId="164" fontId="6" fillId="0" borderId="0" xfId="4" applyNumberFormat="1" applyFont="1" applyAlignment="1" applyProtection="1">
      <alignment vertical="center"/>
      <protection locked="0"/>
    </xf>
    <xf numFmtId="0" fontId="61" fillId="6" borderId="21" xfId="4" applyFont="1" applyFill="1" applyBorder="1" applyAlignment="1" applyProtection="1">
      <alignment horizontal="centerContinuous" vertical="center"/>
      <protection locked="0"/>
    </xf>
    <xf numFmtId="0" fontId="62" fillId="6" borderId="13" xfId="4" applyFont="1" applyFill="1" applyBorder="1" applyAlignment="1" applyProtection="1">
      <alignment horizontal="center" vertical="center"/>
      <protection locked="0"/>
    </xf>
    <xf numFmtId="184" fontId="6" fillId="0" borderId="20" xfId="4" applyNumberFormat="1" applyFont="1" applyBorder="1" applyAlignment="1" applyProtection="1">
      <alignment vertical="center"/>
      <protection locked="0"/>
    </xf>
    <xf numFmtId="164" fontId="6" fillId="0" borderId="20" xfId="4" applyNumberFormat="1" applyFont="1" applyBorder="1" applyAlignment="1" applyProtection="1">
      <alignment vertical="center"/>
      <protection locked="0"/>
    </xf>
    <xf numFmtId="0" fontId="6" fillId="0" borderId="20" xfId="4" applyFont="1" applyBorder="1" applyAlignment="1" applyProtection="1">
      <alignment vertical="center"/>
      <protection locked="0"/>
    </xf>
    <xf numFmtId="0" fontId="6" fillId="6" borderId="13" xfId="4" applyFont="1" applyFill="1" applyBorder="1" applyAlignment="1" applyProtection="1">
      <alignment horizontal="center" vertical="center"/>
      <protection locked="0"/>
    </xf>
    <xf numFmtId="49" fontId="6" fillId="6" borderId="13" xfId="4" applyNumberFormat="1" applyFont="1" applyFill="1" applyBorder="1" applyAlignment="1" applyProtection="1">
      <alignment vertical="center" wrapText="1"/>
      <protection locked="0"/>
    </xf>
    <xf numFmtId="49" fontId="6" fillId="6" borderId="13" xfId="4" applyNumberFormat="1" applyFont="1" applyFill="1" applyBorder="1" applyAlignment="1" applyProtection="1">
      <alignment horizontal="center" vertical="center" wrapText="1"/>
      <protection locked="0"/>
    </xf>
    <xf numFmtId="0" fontId="6" fillId="6" borderId="13" xfId="4" applyFont="1" applyFill="1" applyBorder="1" applyAlignment="1" applyProtection="1">
      <alignment horizontal="center" vertical="center" wrapText="1"/>
      <protection locked="0"/>
    </xf>
    <xf numFmtId="164" fontId="6" fillId="6" borderId="13" xfId="4" applyNumberFormat="1" applyFont="1" applyFill="1" applyBorder="1" applyAlignment="1" applyProtection="1">
      <alignment vertical="center"/>
      <protection locked="0"/>
    </xf>
    <xf numFmtId="184" fontId="6" fillId="6" borderId="13" xfId="4" applyNumberFormat="1" applyFont="1" applyFill="1" applyBorder="1" applyAlignment="1" applyProtection="1">
      <alignment vertical="center"/>
      <protection locked="0"/>
    </xf>
    <xf numFmtId="184" fontId="17" fillId="6" borderId="4" xfId="4" applyNumberFormat="1" applyFont="1" applyFill="1" applyBorder="1" applyAlignment="1" applyProtection="1">
      <alignment vertical="center"/>
      <protection locked="0"/>
    </xf>
    <xf numFmtId="164" fontId="6" fillId="6" borderId="4" xfId="4" applyNumberFormat="1" applyFont="1" applyFill="1" applyBorder="1" applyAlignment="1" applyProtection="1">
      <alignment vertical="center"/>
      <protection locked="0"/>
    </xf>
    <xf numFmtId="0" fontId="6" fillId="6" borderId="4" xfId="4" applyFont="1" applyFill="1" applyBorder="1" applyAlignment="1" applyProtection="1">
      <alignment vertical="center"/>
      <protection locked="0"/>
    </xf>
    <xf numFmtId="0" fontId="6" fillId="0" borderId="0" xfId="4" applyFont="1" applyFill="1" applyAlignment="1" applyProtection="1">
      <alignment vertical="center"/>
      <protection locked="0"/>
    </xf>
    <xf numFmtId="49" fontId="6" fillId="0" borderId="0" xfId="4" applyNumberFormat="1" applyFont="1" applyFill="1" applyAlignment="1" applyProtection="1">
      <alignment vertical="center" wrapText="1"/>
      <protection locked="0"/>
    </xf>
    <xf numFmtId="0" fontId="6" fillId="0" borderId="0" xfId="4" applyFont="1" applyFill="1" applyAlignment="1" applyProtection="1">
      <alignment vertical="center" wrapText="1"/>
      <protection locked="0"/>
    </xf>
    <xf numFmtId="164" fontId="6" fillId="0" borderId="0" xfId="4" applyNumberFormat="1" applyFont="1" applyFill="1" applyAlignment="1" applyProtection="1">
      <alignment vertical="center"/>
      <protection locked="0"/>
    </xf>
    <xf numFmtId="0" fontId="6" fillId="0" borderId="0" xfId="4" applyFont="1" applyFill="1" applyAlignment="1" applyProtection="1">
      <alignment horizontal="center" vertical="center"/>
      <protection locked="0"/>
    </xf>
    <xf numFmtId="164" fontId="17" fillId="0" borderId="0" xfId="4" applyNumberFormat="1" applyFont="1" applyAlignment="1" applyProtection="1">
      <alignment horizontal="centerContinuous" vertical="center"/>
      <protection locked="0"/>
    </xf>
    <xf numFmtId="164" fontId="6" fillId="0" borderId="0" xfId="4" applyNumberFormat="1" applyFont="1" applyAlignment="1" applyProtection="1">
      <alignment horizontal="centerContinuous" vertical="center"/>
      <protection locked="0"/>
    </xf>
    <xf numFmtId="0" fontId="6" fillId="0" borderId="0" xfId="4" applyFont="1" applyAlignment="1">
      <alignment horizontal="centerContinuous" vertical="center" wrapText="1"/>
    </xf>
    <xf numFmtId="164" fontId="6" fillId="0" borderId="0" xfId="4" applyNumberFormat="1" applyFont="1" applyAlignment="1">
      <alignment horizontal="centerContinuous" vertical="center"/>
    </xf>
    <xf numFmtId="185" fontId="6" fillId="0" borderId="0" xfId="4" applyNumberFormat="1" applyFont="1" applyAlignment="1">
      <alignment horizontal="centerContinuous" vertical="center"/>
    </xf>
    <xf numFmtId="0" fontId="15" fillId="0" borderId="0" xfId="4" applyFont="1" applyAlignment="1">
      <alignment horizontal="centerContinuous" vertical="center" wrapText="1"/>
    </xf>
    <xf numFmtId="164" fontId="15" fillId="0" borderId="0" xfId="4" applyNumberFormat="1" applyFont="1" applyAlignment="1">
      <alignment horizontal="centerContinuous" vertical="center"/>
    </xf>
    <xf numFmtId="185" fontId="15" fillId="0" borderId="0" xfId="4" applyNumberFormat="1" applyFont="1" applyAlignment="1">
      <alignment horizontal="centerContinuous" vertical="center"/>
    </xf>
    <xf numFmtId="49" fontId="6" fillId="0" borderId="0" xfId="4" applyNumberFormat="1" applyFont="1" applyAlignment="1">
      <alignment vertical="center" wrapText="1"/>
    </xf>
    <xf numFmtId="0" fontId="6" fillId="0" borderId="0" xfId="4" applyFont="1" applyAlignment="1">
      <alignment horizontal="center" vertical="center" wrapText="1"/>
    </xf>
    <xf numFmtId="164" fontId="6" fillId="0" borderId="0" xfId="4" applyNumberFormat="1" applyFont="1" applyAlignment="1">
      <alignment vertical="center"/>
    </xf>
    <xf numFmtId="185" fontId="6" fillId="0" borderId="0" xfId="4" applyNumberFormat="1" applyFont="1" applyAlignment="1">
      <alignment vertical="center"/>
    </xf>
    <xf numFmtId="164" fontId="46" fillId="6" borderId="13" xfId="4" applyNumberFormat="1" applyFont="1" applyFill="1" applyBorder="1" applyAlignment="1">
      <alignment horizontal="center" vertical="center"/>
    </xf>
    <xf numFmtId="185" fontId="46" fillId="6" borderId="13" xfId="4" applyNumberFormat="1" applyFont="1" applyFill="1" applyBorder="1" applyAlignment="1">
      <alignment horizontal="center" vertical="center"/>
    </xf>
    <xf numFmtId="0" fontId="63" fillId="0" borderId="0" xfId="4" applyFont="1" applyAlignment="1">
      <alignment horizontal="centerContinuous" vertical="center" wrapText="1"/>
    </xf>
    <xf numFmtId="184" fontId="6" fillId="0" borderId="0" xfId="4" applyNumberFormat="1" applyFont="1" applyAlignment="1">
      <alignment horizontal="centerContinuous" vertical="center"/>
    </xf>
    <xf numFmtId="184" fontId="15" fillId="0" borderId="0" xfId="4" applyNumberFormat="1" applyFont="1" applyAlignment="1">
      <alignment horizontal="centerContinuous" vertical="center"/>
    </xf>
    <xf numFmtId="184" fontId="6" fillId="0" borderId="0" xfId="4" applyNumberFormat="1" applyFont="1" applyAlignment="1">
      <alignment vertical="center"/>
    </xf>
    <xf numFmtId="184" fontId="46" fillId="6" borderId="13" xfId="4" applyNumberFormat="1" applyFont="1" applyFill="1" applyBorder="1" applyAlignment="1">
      <alignment horizontal="center" vertical="center"/>
    </xf>
    <xf numFmtId="49" fontId="63" fillId="0" borderId="0" xfId="4" applyNumberFormat="1" applyFont="1" applyAlignment="1">
      <alignment horizontal="centerContinuous" vertical="center" wrapText="1"/>
    </xf>
    <xf numFmtId="49" fontId="16" fillId="0" borderId="0" xfId="4" applyNumberFormat="1" applyFont="1" applyAlignment="1">
      <alignment horizontal="centerContinuous" vertical="center" wrapText="1"/>
    </xf>
    <xf numFmtId="49" fontId="46" fillId="6" borderId="13" xfId="4" applyNumberFormat="1" applyFont="1" applyFill="1" applyBorder="1" applyAlignment="1">
      <alignment horizontal="center" vertical="center" wrapText="1"/>
    </xf>
    <xf numFmtId="0" fontId="46" fillId="6" borderId="13" xfId="4" applyFont="1" applyFill="1" applyBorder="1" applyAlignment="1">
      <alignment horizontal="center" vertical="center" wrapText="1"/>
    </xf>
    <xf numFmtId="184" fontId="46" fillId="6" borderId="13" xfId="4" applyNumberFormat="1" applyFont="1" applyFill="1" applyBorder="1" applyAlignment="1">
      <alignment horizontal="center" vertical="center" wrapText="1"/>
    </xf>
    <xf numFmtId="0" fontId="6" fillId="0" borderId="0" xfId="4" applyFont="1" applyAlignment="1">
      <alignment horizontal="centerContinuous" vertical="center"/>
    </xf>
    <xf numFmtId="0" fontId="6" fillId="0" borderId="0" xfId="4" applyNumberFormat="1" applyFont="1" applyAlignment="1">
      <alignment horizontal="centerContinuous" vertical="center"/>
    </xf>
    <xf numFmtId="0" fontId="15" fillId="0" borderId="0" xfId="4" applyNumberFormat="1" applyFont="1" applyAlignment="1">
      <alignment horizontal="centerContinuous" vertical="center"/>
    </xf>
    <xf numFmtId="0" fontId="6" fillId="0" borderId="0" xfId="4" applyNumberFormat="1" applyFont="1" applyAlignment="1">
      <alignment horizontal="center" vertical="center"/>
    </xf>
    <xf numFmtId="0" fontId="68" fillId="0" borderId="0" xfId="5" applyFont="1" applyAlignment="1">
      <alignment horizontal="centerContinuous" vertical="center"/>
    </xf>
    <xf numFmtId="0" fontId="67" fillId="0" borderId="0" xfId="5"/>
    <xf numFmtId="0" fontId="15" fillId="0" borderId="0" xfId="5" applyFont="1" applyAlignment="1">
      <alignment horizontal="centerContinuous" vertical="center"/>
    </xf>
    <xf numFmtId="0" fontId="15" fillId="0" borderId="0" xfId="5" applyFont="1" applyAlignment="1">
      <alignment horizontal="centerContinuous" vertical="center" wrapText="1"/>
    </xf>
    <xf numFmtId="184" fontId="15" fillId="0" borderId="0" xfId="5" applyNumberFormat="1" applyFont="1" applyAlignment="1">
      <alignment horizontal="centerContinuous" vertical="center"/>
    </xf>
    <xf numFmtId="0" fontId="39" fillId="0" borderId="0" xfId="4" applyFont="1" applyAlignment="1">
      <alignment horizontal="left" vertical="center"/>
    </xf>
    <xf numFmtId="0" fontId="67" fillId="0" borderId="0" xfId="5" applyFont="1"/>
    <xf numFmtId="4" fontId="70" fillId="0" borderId="0" xfId="6" applyNumberFormat="1" applyFont="1" applyFill="1" applyBorder="1" applyAlignment="1" applyProtection="1">
      <alignment horizontal="center" vertical="center"/>
      <protection hidden="1"/>
    </xf>
    <xf numFmtId="3" fontId="15" fillId="0" borderId="0" xfId="6" applyNumberFormat="1" applyFont="1" applyFill="1" applyAlignment="1" applyProtection="1">
      <alignment horizontal="left" vertical="center"/>
      <protection hidden="1"/>
    </xf>
    <xf numFmtId="0" fontId="67" fillId="0" borderId="0" xfId="5" applyAlignment="1">
      <alignment horizontal="center" vertical="center"/>
    </xf>
    <xf numFmtId="0" fontId="67" fillId="0" borderId="0" xfId="5" applyAlignment="1">
      <alignment vertical="center" wrapText="1"/>
    </xf>
    <xf numFmtId="184" fontId="67" fillId="0" borderId="0" xfId="5" applyNumberFormat="1" applyAlignment="1">
      <alignment vertical="center"/>
    </xf>
    <xf numFmtId="0" fontId="40" fillId="0" borderId="0" xfId="5" applyFont="1" applyAlignment="1">
      <alignment horizontal="right" vertical="center"/>
    </xf>
    <xf numFmtId="0" fontId="4" fillId="0" borderId="2" xfId="3" applyFont="1" applyFill="1" applyBorder="1" applyAlignment="1" applyProtection="1">
      <alignment vertical="center"/>
      <protection hidden="1"/>
    </xf>
    <xf numFmtId="0" fontId="72" fillId="0" borderId="0" xfId="5" applyFont="1" applyAlignment="1">
      <alignment horizontal="centerContinuous" vertical="center"/>
    </xf>
    <xf numFmtId="2" fontId="72" fillId="0" borderId="0" xfId="5" applyNumberFormat="1" applyFont="1" applyAlignment="1">
      <alignment horizontal="centerContinuous" vertical="center"/>
    </xf>
    <xf numFmtId="184" fontId="72" fillId="0" borderId="0" xfId="5" applyNumberFormat="1" applyFont="1" applyAlignment="1">
      <alignment horizontal="centerContinuous" vertical="center"/>
    </xf>
    <xf numFmtId="0" fontId="15" fillId="0" borderId="0" xfId="5" applyFont="1"/>
    <xf numFmtId="184" fontId="73" fillId="0" borderId="0" xfId="5" applyNumberFormat="1" applyFont="1" applyAlignment="1">
      <alignment horizontal="centerContinuous" vertical="center"/>
    </xf>
    <xf numFmtId="2" fontId="73" fillId="0" borderId="0" xfId="5" applyNumberFormat="1" applyFont="1" applyAlignment="1">
      <alignment horizontal="centerContinuous" vertical="center"/>
    </xf>
    <xf numFmtId="0" fontId="74" fillId="0" borderId="0" xfId="4" applyFont="1" applyAlignment="1">
      <alignment horizontal="centerContinuous" vertical="center"/>
    </xf>
    <xf numFmtId="2" fontId="74" fillId="0" borderId="0" xfId="4" applyNumberFormat="1" applyFont="1" applyAlignment="1">
      <alignment horizontal="centerContinuous" vertical="center"/>
    </xf>
    <xf numFmtId="184" fontId="74" fillId="0" borderId="0" xfId="4" applyNumberFormat="1" applyFont="1" applyAlignment="1">
      <alignment horizontal="centerContinuous" vertical="center"/>
    </xf>
    <xf numFmtId="0" fontId="75" fillId="0" borderId="30" xfId="3" applyFont="1" applyFill="1" applyBorder="1" applyAlignment="1" applyProtection="1">
      <alignment horizontal="center" vertical="center"/>
      <protection locked="0"/>
    </xf>
    <xf numFmtId="0" fontId="75" fillId="0" borderId="30" xfId="3" applyFont="1" applyBorder="1" applyAlignment="1" applyProtection="1">
      <alignment horizontal="center" vertical="center"/>
      <protection locked="0"/>
    </xf>
    <xf numFmtId="2" fontId="75" fillId="0" borderId="30" xfId="3" applyNumberFormat="1" applyFont="1" applyBorder="1" applyAlignment="1" applyProtection="1">
      <alignment horizontal="center" vertical="center"/>
      <protection locked="0"/>
    </xf>
    <xf numFmtId="184" fontId="75" fillId="0" borderId="30" xfId="3" applyNumberFormat="1" applyFont="1" applyBorder="1" applyAlignment="1" applyProtection="1">
      <alignment horizontal="center" vertical="center"/>
      <protection locked="0"/>
    </xf>
    <xf numFmtId="0" fontId="15" fillId="0" borderId="0" xfId="3" applyFont="1" applyFill="1" applyAlignment="1" applyProtection="1">
      <alignment vertical="center"/>
      <protection locked="0"/>
    </xf>
    <xf numFmtId="0" fontId="15" fillId="0" borderId="0" xfId="3" applyFont="1" applyAlignment="1" applyProtection="1">
      <alignment vertical="center"/>
      <protection locked="0"/>
    </xf>
    <xf numFmtId="0" fontId="76" fillId="0" borderId="0" xfId="4" applyFont="1" applyAlignment="1">
      <alignment horizontal="centerContinuous" vertical="center"/>
    </xf>
    <xf numFmtId="184" fontId="0" fillId="0" borderId="0" xfId="0" applyNumberFormat="1"/>
    <xf numFmtId="164" fontId="0" fillId="0" borderId="0" xfId="0" applyNumberFormat="1"/>
    <xf numFmtId="0" fontId="17" fillId="0" borderId="0" xfId="4" applyFont="1" applyAlignment="1">
      <alignment horizontal="centerContinuous" vertical="center" wrapText="1"/>
    </xf>
    <xf numFmtId="0" fontId="79" fillId="0" borderId="0" xfId="4" applyFont="1" applyAlignment="1">
      <alignment horizontal="center" vertical="center"/>
    </xf>
    <xf numFmtId="49" fontId="63" fillId="0" borderId="0" xfId="0" applyNumberFormat="1" applyFont="1" applyAlignment="1">
      <alignment horizontal="centerContinuous" vertical="top" wrapText="1"/>
    </xf>
    <xf numFmtId="0" fontId="38" fillId="0" borderId="0" xfId="0" applyFont="1" applyAlignment="1">
      <alignment horizontal="centerContinuous" vertical="top" wrapText="1"/>
    </xf>
    <xf numFmtId="164" fontId="38" fillId="0" borderId="0" xfId="0" applyNumberFormat="1" applyFont="1" applyAlignment="1">
      <alignment horizontal="centerContinuous" vertical="top"/>
    </xf>
    <xf numFmtId="0" fontId="38" fillId="0" borderId="0" xfId="0" applyFont="1" applyAlignment="1">
      <alignment horizontal="centerContinuous" vertical="top"/>
    </xf>
    <xf numFmtId="49" fontId="17" fillId="0" borderId="0" xfId="0" applyNumberFormat="1" applyFont="1" applyAlignment="1">
      <alignment horizontal="centerContinuous" vertical="top" wrapText="1"/>
    </xf>
    <xf numFmtId="0" fontId="17" fillId="0" borderId="0" xfId="0" applyFont="1" applyAlignment="1">
      <alignment horizontal="centerContinuous" vertical="top"/>
    </xf>
    <xf numFmtId="0" fontId="38" fillId="0" borderId="0" xfId="0" applyFont="1" applyAlignment="1">
      <alignment horizontal="center" vertical="top" wrapText="1"/>
    </xf>
    <xf numFmtId="164" fontId="80" fillId="6" borderId="13" xfId="0" applyNumberFormat="1" applyFont="1" applyFill="1" applyBorder="1" applyAlignment="1">
      <alignment horizontal="center" vertical="center"/>
    </xf>
    <xf numFmtId="0" fontId="38" fillId="0" borderId="0" xfId="0" applyFont="1" applyAlignment="1">
      <alignment vertical="top"/>
    </xf>
    <xf numFmtId="49" fontId="38" fillId="0" borderId="0" xfId="0" applyNumberFormat="1" applyFont="1" applyAlignment="1">
      <alignment vertical="top"/>
    </xf>
    <xf numFmtId="0" fontId="38" fillId="0" borderId="0" xfId="0" applyFont="1" applyAlignment="1">
      <alignment vertical="top" wrapText="1"/>
    </xf>
    <xf numFmtId="0" fontId="43" fillId="0" borderId="0" xfId="0" applyFont="1" applyAlignment="1">
      <alignment horizontal="centerContinuous" vertical="center"/>
    </xf>
    <xf numFmtId="3" fontId="43" fillId="0" borderId="0" xfId="0" applyNumberFormat="1" applyFont="1" applyAlignment="1">
      <alignment horizontal="centerContinuous" vertical="center"/>
    </xf>
    <xf numFmtId="0" fontId="43" fillId="0" borderId="0" xfId="0" applyFont="1" applyAlignment="1">
      <alignment horizontal="left" vertical="center"/>
    </xf>
    <xf numFmtId="0" fontId="43" fillId="0" borderId="0" xfId="0" applyFont="1" applyFill="1" applyAlignment="1">
      <alignment horizontal="left" vertical="center"/>
    </xf>
    <xf numFmtId="3" fontId="43" fillId="0" borderId="0" xfId="0" applyNumberFormat="1" applyFont="1" applyFill="1" applyBorder="1" applyAlignment="1">
      <alignment horizontal="center" vertical="center"/>
    </xf>
    <xf numFmtId="0" fontId="45" fillId="2" borderId="13" xfId="4" applyFont="1" applyFill="1" applyBorder="1" applyAlignment="1">
      <alignment horizontal="center" vertical="center"/>
    </xf>
    <xf numFmtId="0" fontId="78" fillId="0" borderId="19" xfId="4" applyFont="1" applyFill="1" applyBorder="1" applyAlignment="1">
      <alignment horizontal="center" vertical="center"/>
    </xf>
    <xf numFmtId="0" fontId="6" fillId="0" borderId="19" xfId="0" applyFont="1" applyFill="1" applyBorder="1" applyAlignment="1">
      <alignment horizontal="center" vertical="center" wrapText="1"/>
    </xf>
    <xf numFmtId="0" fontId="17" fillId="0" borderId="2" xfId="0" applyFont="1" applyBorder="1" applyAlignment="1">
      <alignment horizontal="centerContinuous" vertical="center" wrapText="1"/>
    </xf>
    <xf numFmtId="0" fontId="49" fillId="2" borderId="17" xfId="0" applyFont="1" applyFill="1" applyBorder="1" applyAlignment="1">
      <alignment horizontal="center" vertical="center"/>
    </xf>
    <xf numFmtId="0" fontId="81" fillId="0" borderId="19" xfId="0" applyFont="1" applyFill="1" applyBorder="1" applyAlignment="1">
      <alignment vertical="center"/>
    </xf>
    <xf numFmtId="0" fontId="36"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3" fontId="36" fillId="0" borderId="0" xfId="0" applyNumberFormat="1" applyFont="1" applyFill="1" applyBorder="1" applyAlignment="1">
      <alignment vertical="center"/>
    </xf>
    <xf numFmtId="0" fontId="81" fillId="0" borderId="0" xfId="0" applyFont="1" applyFill="1" applyBorder="1" applyAlignment="1">
      <alignment vertical="center"/>
    </xf>
    <xf numFmtId="0" fontId="38" fillId="0" borderId="0" xfId="0" applyFont="1" applyFill="1" applyAlignment="1">
      <alignment horizontal="centerContinuous"/>
    </xf>
    <xf numFmtId="3" fontId="36" fillId="0" borderId="0" xfId="0" applyNumberFormat="1" applyFont="1" applyFill="1" applyBorder="1" applyAlignment="1">
      <alignment horizontal="centerContinuous" vertical="center"/>
    </xf>
    <xf numFmtId="0" fontId="0" fillId="0" borderId="0" xfId="0" applyBorder="1"/>
    <xf numFmtId="3" fontId="57" fillId="0" borderId="30" xfId="0" applyNumberFormat="1" applyFont="1" applyBorder="1" applyAlignment="1">
      <alignment horizontal="right" vertical="center"/>
    </xf>
    <xf numFmtId="0" fontId="46" fillId="3" borderId="13" xfId="4" applyFont="1" applyFill="1" applyBorder="1" applyAlignment="1">
      <alignment horizontal="center" vertical="center" wrapText="1"/>
    </xf>
    <xf numFmtId="0" fontId="6" fillId="0" borderId="2" xfId="0" applyFont="1" applyBorder="1" applyAlignment="1">
      <alignment horizontal="left" vertical="center" wrapText="1" indent="1"/>
    </xf>
    <xf numFmtId="9" fontId="6" fillId="0" borderId="2" xfId="8" applyFont="1" applyBorder="1" applyAlignment="1">
      <alignment vertical="center"/>
    </xf>
    <xf numFmtId="49" fontId="6" fillId="0" borderId="0" xfId="4" applyNumberFormat="1" applyFont="1" applyAlignment="1" applyProtection="1">
      <alignment horizontal="centerContinuous" vertical="center" wrapText="1"/>
      <protection locked="0"/>
    </xf>
    <xf numFmtId="0" fontId="6" fillId="0" borderId="0" xfId="4" applyFont="1" applyAlignment="1" applyProtection="1">
      <alignment horizontal="centerContinuous" vertical="center" wrapText="1"/>
      <protection locked="0"/>
    </xf>
    <xf numFmtId="49" fontId="16" fillId="0" borderId="0" xfId="4" applyNumberFormat="1" applyFont="1" applyAlignment="1" applyProtection="1">
      <alignment horizontal="centerContinuous" vertical="center" wrapText="1"/>
      <protection locked="0"/>
    </xf>
    <xf numFmtId="0" fontId="16" fillId="0" borderId="0" xfId="4" applyFont="1" applyAlignment="1" applyProtection="1">
      <alignment horizontal="centerContinuous" vertical="center" wrapText="1"/>
      <protection locked="0"/>
    </xf>
    <xf numFmtId="0" fontId="82" fillId="2" borderId="13" xfId="4" applyFont="1" applyFill="1" applyBorder="1" applyAlignment="1">
      <alignment horizontal="center" vertical="center"/>
    </xf>
    <xf numFmtId="0" fontId="48" fillId="0" borderId="3" xfId="0" applyFont="1" applyFill="1" applyBorder="1" applyAlignment="1">
      <alignment horizontal="center" vertical="center" wrapText="1"/>
    </xf>
    <xf numFmtId="3" fontId="6" fillId="0" borderId="3" xfId="0" applyNumberFormat="1" applyFont="1" applyFill="1" applyBorder="1" applyAlignment="1">
      <alignment horizontal="right" vertical="center" wrapText="1"/>
    </xf>
    <xf numFmtId="0" fontId="47" fillId="0" borderId="18" xfId="0" applyFont="1" applyFill="1" applyBorder="1" applyAlignment="1">
      <alignment horizontal="center" vertical="center" wrapText="1"/>
    </xf>
    <xf numFmtId="0" fontId="47" fillId="0" borderId="18" xfId="0" applyFont="1" applyFill="1" applyBorder="1" applyAlignment="1">
      <alignment horizontal="left" vertical="center" wrapText="1"/>
    </xf>
    <xf numFmtId="3" fontId="47" fillId="0" borderId="18" xfId="0" applyNumberFormat="1" applyFont="1" applyFill="1" applyBorder="1" applyAlignment="1">
      <alignment horizontal="center" vertical="center" wrapText="1"/>
    </xf>
    <xf numFmtId="3" fontId="6" fillId="0" borderId="2" xfId="1" applyNumberFormat="1" applyFont="1" applyBorder="1" applyAlignment="1">
      <alignment horizontal="right" vertical="center"/>
    </xf>
    <xf numFmtId="3" fontId="17" fillId="0" borderId="18" xfId="0" applyNumberFormat="1" applyFont="1" applyFill="1" applyBorder="1" applyAlignment="1">
      <alignment horizontal="right" vertical="center" wrapText="1"/>
    </xf>
    <xf numFmtId="0" fontId="17" fillId="0" borderId="2" xfId="0" applyFont="1" applyBorder="1" applyAlignment="1">
      <alignment horizontal="left" vertical="center" wrapText="1" indent="1"/>
    </xf>
    <xf numFmtId="0" fontId="17" fillId="0" borderId="16" xfId="0" applyFont="1" applyBorder="1" applyAlignment="1">
      <alignment horizontal="center" vertical="center"/>
    </xf>
    <xf numFmtId="0" fontId="17" fillId="0" borderId="16" xfId="0" applyFont="1" applyBorder="1" applyAlignment="1">
      <alignment horizontal="left" vertical="center" wrapText="1" indent="1"/>
    </xf>
    <xf numFmtId="3" fontId="17" fillId="0" borderId="16" xfId="1" applyNumberFormat="1" applyFont="1" applyBorder="1" applyAlignment="1">
      <alignment horizontal="right" vertical="center"/>
    </xf>
    <xf numFmtId="0" fontId="6" fillId="0" borderId="16" xfId="0" applyFont="1" applyBorder="1" applyAlignment="1">
      <alignment horizontal="center" vertical="center"/>
    </xf>
    <xf numFmtId="0" fontId="6" fillId="0" borderId="16" xfId="0" applyFont="1" applyBorder="1" applyAlignment="1">
      <alignment horizontal="left" vertical="center" wrapText="1" indent="1"/>
    </xf>
    <xf numFmtId="3" fontId="6" fillId="0" borderId="16" xfId="1" applyNumberFormat="1" applyFont="1" applyBorder="1" applyAlignment="1">
      <alignment horizontal="right" vertical="center"/>
    </xf>
    <xf numFmtId="0" fontId="17" fillId="0" borderId="16" xfId="0" applyFont="1" applyBorder="1" applyAlignment="1">
      <alignment horizontal="center" vertical="center" wrapText="1"/>
    </xf>
    <xf numFmtId="0" fontId="47" fillId="0" borderId="16" xfId="0" applyFont="1" applyBorder="1" applyAlignment="1">
      <alignment horizontal="center" vertical="center"/>
    </xf>
    <xf numFmtId="0" fontId="49" fillId="2" borderId="13" xfId="0" applyFont="1" applyFill="1" applyBorder="1" applyAlignment="1">
      <alignment horizontal="center" vertical="center"/>
    </xf>
    <xf numFmtId="0" fontId="80" fillId="0" borderId="0" xfId="0" applyFont="1" applyFill="1" applyBorder="1" applyAlignment="1">
      <alignment horizontal="center" vertical="center"/>
    </xf>
    <xf numFmtId="0" fontId="80" fillId="0" borderId="0" xfId="0" applyFont="1" applyFill="1" applyBorder="1" applyAlignment="1">
      <alignment horizontal="center" vertical="center" wrapText="1"/>
    </xf>
    <xf numFmtId="0" fontId="83" fillId="0" borderId="0" xfId="0" applyFont="1" applyFill="1" applyBorder="1" applyAlignment="1">
      <alignment horizontal="center" vertical="center"/>
    </xf>
    <xf numFmtId="3" fontId="80" fillId="0" borderId="0" xfId="0" applyNumberFormat="1" applyFont="1" applyFill="1" applyBorder="1" applyAlignment="1">
      <alignment vertical="center"/>
    </xf>
    <xf numFmtId="187" fontId="17" fillId="0" borderId="0" xfId="0" applyNumberFormat="1" applyFont="1" applyFill="1" applyBorder="1" applyAlignment="1">
      <alignment horizontal="center" vertical="center"/>
    </xf>
    <xf numFmtId="0" fontId="43" fillId="0" borderId="2" xfId="4" applyFont="1" applyBorder="1" applyAlignment="1">
      <alignment vertical="center" wrapText="1"/>
    </xf>
    <xf numFmtId="0" fontId="38" fillId="0" borderId="0" xfId="0" applyFont="1" applyAlignment="1">
      <alignment horizontal="left"/>
    </xf>
    <xf numFmtId="49" fontId="6" fillId="0" borderId="20" xfId="4" applyNumberFormat="1" applyFont="1" applyBorder="1" applyAlignment="1" applyProtection="1">
      <alignment horizontal="center" vertical="center" wrapText="1"/>
      <protection locked="0"/>
    </xf>
    <xf numFmtId="0" fontId="6" fillId="0" borderId="20" xfId="4" applyFont="1" applyBorder="1" applyAlignment="1" applyProtection="1">
      <alignment horizontal="center" vertical="center"/>
      <protection locked="0"/>
    </xf>
    <xf numFmtId="49" fontId="6" fillId="0" borderId="20" xfId="4" applyNumberFormat="1" applyFont="1" applyBorder="1" applyAlignment="1" applyProtection="1">
      <alignment vertical="center" wrapText="1"/>
      <protection locked="0"/>
    </xf>
    <xf numFmtId="0" fontId="6" fillId="0" borderId="20" xfId="4" applyFont="1" applyBorder="1" applyAlignment="1" applyProtection="1">
      <alignment horizontal="center" vertical="center" wrapText="1"/>
      <protection locked="0"/>
    </xf>
    <xf numFmtId="49" fontId="48" fillId="0" borderId="20" xfId="4" applyNumberFormat="1" applyFont="1" applyBorder="1" applyAlignment="1" applyProtection="1">
      <alignment horizontal="center" vertical="center" wrapText="1"/>
      <protection locked="0"/>
    </xf>
    <xf numFmtId="164" fontId="48" fillId="0" borderId="20" xfId="4" applyNumberFormat="1" applyFont="1" applyBorder="1" applyAlignment="1" applyProtection="1">
      <alignment vertical="center"/>
      <protection locked="0"/>
    </xf>
    <xf numFmtId="184" fontId="17" fillId="0" borderId="4" xfId="4" applyNumberFormat="1" applyFont="1" applyBorder="1" applyAlignment="1" applyProtection="1">
      <alignment vertical="center"/>
      <protection locked="0"/>
    </xf>
    <xf numFmtId="164" fontId="6" fillId="0" borderId="4" xfId="4" applyNumberFormat="1" applyFont="1" applyBorder="1" applyAlignment="1" applyProtection="1">
      <alignment vertical="center"/>
      <protection locked="0"/>
    </xf>
    <xf numFmtId="0" fontId="6" fillId="0" borderId="4" xfId="4" applyFont="1" applyBorder="1" applyAlignment="1" applyProtection="1">
      <alignment vertical="center"/>
      <protection locked="0"/>
    </xf>
    <xf numFmtId="164" fontId="46" fillId="3" borderId="13" xfId="4" applyNumberFormat="1" applyFont="1" applyFill="1" applyBorder="1" applyAlignment="1">
      <alignment horizontal="center" vertical="center"/>
    </xf>
    <xf numFmtId="184" fontId="46" fillId="3" borderId="13" xfId="4" applyNumberFormat="1" applyFont="1" applyFill="1" applyBorder="1" applyAlignment="1">
      <alignment horizontal="center" vertical="center"/>
    </xf>
    <xf numFmtId="49" fontId="46" fillId="3" borderId="13" xfId="4" applyNumberFormat="1" applyFont="1" applyFill="1" applyBorder="1" applyAlignment="1">
      <alignment horizontal="center" vertical="center" wrapText="1"/>
    </xf>
    <xf numFmtId="0" fontId="13" fillId="4" borderId="13" xfId="0" applyFont="1" applyFill="1" applyBorder="1" applyAlignment="1" applyProtection="1">
      <alignment horizontal="center" vertical="center"/>
      <protection hidden="1"/>
    </xf>
    <xf numFmtId="0" fontId="88" fillId="0" borderId="0" xfId="4" applyFont="1" applyFill="1"/>
    <xf numFmtId="184" fontId="15" fillId="0" borderId="0" xfId="5" applyNumberFormat="1" applyFont="1" applyBorder="1" applyAlignment="1">
      <alignment horizontal="centerContinuous" vertical="center"/>
    </xf>
    <xf numFmtId="0" fontId="67" fillId="0" borderId="0" xfId="5" applyFont="1" applyBorder="1"/>
    <xf numFmtId="0" fontId="97" fillId="0" borderId="0" xfId="4" applyFont="1" applyAlignment="1" applyProtection="1">
      <alignment horizontal="centerContinuous" vertical="center"/>
      <protection locked="0"/>
    </xf>
    <xf numFmtId="0" fontId="97" fillId="0" borderId="0" xfId="4" applyFont="1" applyAlignment="1">
      <alignment horizontal="centerContinuous" vertical="center"/>
    </xf>
    <xf numFmtId="0" fontId="7" fillId="0" borderId="0" xfId="0" applyFont="1" applyAlignment="1">
      <alignment horizontal="centerContinuous" vertical="top"/>
    </xf>
    <xf numFmtId="0" fontId="98" fillId="0" borderId="0" xfId="0" applyFont="1" applyFill="1" applyProtection="1">
      <protection hidden="1"/>
    </xf>
    <xf numFmtId="0" fontId="41" fillId="0" borderId="0" xfId="5" applyFont="1" applyAlignment="1">
      <alignment horizontal="centerContinuous" vertical="center"/>
    </xf>
    <xf numFmtId="0" fontId="0" fillId="0" borderId="0" xfId="0" applyAlignment="1">
      <alignment vertical="center"/>
    </xf>
    <xf numFmtId="0" fontId="102" fillId="0" borderId="21" xfId="0" applyFont="1" applyBorder="1" applyAlignment="1">
      <alignment horizontal="center" vertical="center"/>
    </xf>
    <xf numFmtId="0" fontId="102" fillId="0" borderId="21" xfId="0" applyFont="1" applyBorder="1" applyAlignment="1">
      <alignment horizontal="justify" vertical="center"/>
    </xf>
    <xf numFmtId="0" fontId="102" fillId="0" borderId="20" xfId="0" applyFont="1" applyBorder="1" applyAlignment="1">
      <alignment horizontal="center" vertical="center"/>
    </xf>
    <xf numFmtId="0" fontId="102" fillId="0" borderId="20" xfId="0" applyFont="1" applyBorder="1" applyAlignment="1">
      <alignment horizontal="justify" vertical="center"/>
    </xf>
    <xf numFmtId="0" fontId="39" fillId="0" borderId="20" xfId="4" applyFont="1" applyBorder="1" applyAlignment="1">
      <alignment horizontal="center" vertical="center" wrapText="1"/>
    </xf>
    <xf numFmtId="0" fontId="102" fillId="0" borderId="20" xfId="0" applyFont="1" applyBorder="1" applyAlignment="1">
      <alignment horizontal="justify" vertical="center" wrapText="1"/>
    </xf>
    <xf numFmtId="49" fontId="100" fillId="6" borderId="13" xfId="4" applyNumberFormat="1" applyFont="1" applyFill="1" applyBorder="1" applyAlignment="1" applyProtection="1">
      <alignment horizontal="center" vertical="center" wrapText="1"/>
    </xf>
    <xf numFmtId="0" fontId="101" fillId="0" borderId="0" xfId="4" applyFont="1" applyAlignment="1">
      <alignment horizontal="centerContinuous" vertical="center"/>
    </xf>
    <xf numFmtId="0" fontId="39" fillId="0" borderId="2" xfId="4" applyFont="1" applyBorder="1" applyAlignment="1">
      <alignment horizontal="center" vertical="center" wrapText="1"/>
    </xf>
    <xf numFmtId="184" fontId="17" fillId="6" borderId="13" xfId="4" applyNumberFormat="1" applyFont="1" applyFill="1" applyBorder="1" applyAlignment="1" applyProtection="1">
      <alignment horizontal="center" vertical="center"/>
      <protection locked="0"/>
    </xf>
    <xf numFmtId="0" fontId="6" fillId="0" borderId="13" xfId="0" applyFont="1" applyFill="1" applyBorder="1" applyAlignment="1" applyProtection="1">
      <alignment horizontal="centerContinuous" vertical="center"/>
      <protection hidden="1"/>
    </xf>
    <xf numFmtId="0" fontId="6" fillId="0" borderId="14" xfId="0" applyFont="1" applyFill="1" applyBorder="1" applyAlignment="1" applyProtection="1">
      <alignment horizontal="centerContinuous" vertical="center"/>
      <protection hidden="1"/>
    </xf>
    <xf numFmtId="0" fontId="38" fillId="0" borderId="0" xfId="4" applyFont="1" applyAlignment="1">
      <alignment vertical="center" wrapText="1"/>
    </xf>
    <xf numFmtId="185" fontId="46" fillId="6" borderId="13" xfId="4" applyNumberFormat="1" applyFont="1" applyFill="1" applyBorder="1" applyAlignment="1">
      <alignment horizontal="center" vertical="center" wrapText="1"/>
    </xf>
    <xf numFmtId="49" fontId="6" fillId="0" borderId="0" xfId="4" applyNumberFormat="1" applyFont="1" applyAlignment="1">
      <alignment horizontal="center" vertical="center" wrapText="1"/>
    </xf>
    <xf numFmtId="181" fontId="6" fillId="0" borderId="2" xfId="4" applyNumberFormat="1" applyFont="1" applyFill="1" applyBorder="1" applyAlignment="1">
      <alignment horizontal="center" vertical="center"/>
    </xf>
    <xf numFmtId="182" fontId="6" fillId="0" borderId="0" xfId="4" applyNumberFormat="1" applyFont="1" applyAlignment="1">
      <alignment vertical="center"/>
    </xf>
    <xf numFmtId="4" fontId="6" fillId="0" borderId="0" xfId="4" applyNumberFormat="1" applyFont="1" applyAlignment="1">
      <alignment vertical="center"/>
    </xf>
    <xf numFmtId="0" fontId="104" fillId="0" borderId="0" xfId="0" applyFont="1"/>
    <xf numFmtId="0" fontId="67" fillId="0" borderId="0" xfId="5" applyFont="1" applyAlignment="1">
      <alignment vertical="center"/>
    </xf>
    <xf numFmtId="3" fontId="72" fillId="0" borderId="0" xfId="5" applyNumberFormat="1" applyFont="1" applyAlignment="1">
      <alignment horizontal="centerContinuous" vertical="center"/>
    </xf>
    <xf numFmtId="3" fontId="73" fillId="0" borderId="0" xfId="5" applyNumberFormat="1" applyFont="1" applyAlignment="1">
      <alignment horizontal="centerContinuous" vertical="center"/>
    </xf>
    <xf numFmtId="3" fontId="74" fillId="0" borderId="0" xfId="4" applyNumberFormat="1" applyFont="1" applyAlignment="1">
      <alignment horizontal="centerContinuous" vertical="center"/>
    </xf>
    <xf numFmtId="3" fontId="75" fillId="0" borderId="30" xfId="3" applyNumberFormat="1" applyFont="1" applyBorder="1" applyAlignment="1" applyProtection="1">
      <alignment horizontal="center" vertical="center"/>
      <protection locked="0"/>
    </xf>
    <xf numFmtId="3" fontId="57" fillId="0" borderId="0" xfId="4" applyNumberFormat="1" applyFont="1" applyAlignment="1">
      <alignment horizontal="right" vertical="center"/>
    </xf>
    <xf numFmtId="0" fontId="105" fillId="0" borderId="0" xfId="4" applyFont="1" applyAlignment="1">
      <alignment vertical="center"/>
    </xf>
    <xf numFmtId="0" fontId="106" fillId="0" borderId="0" xfId="0" applyFont="1"/>
    <xf numFmtId="0" fontId="105" fillId="0" borderId="0" xfId="0" applyFont="1"/>
    <xf numFmtId="0" fontId="105" fillId="0" borderId="0" xfId="4" applyFont="1" applyFill="1" applyAlignment="1">
      <alignment vertical="center"/>
    </xf>
    <xf numFmtId="0" fontId="104" fillId="0" borderId="0" xfId="0" applyFont="1" applyAlignment="1">
      <alignment horizontal="center" vertical="center"/>
    </xf>
    <xf numFmtId="0" fontId="104" fillId="0" borderId="0" xfId="0" applyFont="1" applyAlignment="1">
      <alignment horizontal="justify" vertical="center" wrapText="1"/>
    </xf>
    <xf numFmtId="0" fontId="104" fillId="0" borderId="0" xfId="0" applyFont="1" applyAlignment="1">
      <alignment vertical="center"/>
    </xf>
    <xf numFmtId="3" fontId="104" fillId="0" borderId="0" xfId="0" applyNumberFormat="1" applyFont="1" applyAlignment="1">
      <alignment vertical="center"/>
    </xf>
    <xf numFmtId="0" fontId="105" fillId="0" borderId="0" xfId="4" applyFont="1" applyFill="1" applyAlignment="1">
      <alignment horizontal="center" vertical="center"/>
    </xf>
    <xf numFmtId="0" fontId="105" fillId="0" borderId="0" xfId="4" applyFont="1" applyFill="1" applyAlignment="1">
      <alignment vertical="center" wrapText="1"/>
    </xf>
    <xf numFmtId="0" fontId="105" fillId="0" borderId="0" xfId="4" applyFont="1" applyFill="1" applyAlignment="1">
      <alignment horizontal="center" vertical="center" wrapText="1"/>
    </xf>
    <xf numFmtId="0" fontId="105" fillId="0" borderId="0" xfId="4" applyNumberFormat="1" applyFont="1" applyFill="1" applyAlignment="1">
      <alignment vertical="center"/>
    </xf>
    <xf numFmtId="0" fontId="105" fillId="0" borderId="0" xfId="4" applyNumberFormat="1" applyFont="1" applyFill="1" applyAlignment="1">
      <alignment horizontal="center" vertical="center"/>
    </xf>
    <xf numFmtId="184" fontId="105" fillId="0" borderId="0" xfId="4" applyNumberFormat="1" applyFont="1" applyFill="1" applyAlignment="1">
      <alignment vertical="center"/>
    </xf>
    <xf numFmtId="164" fontId="105" fillId="0" borderId="0" xfId="4" applyNumberFormat="1" applyFont="1" applyFill="1" applyAlignment="1">
      <alignment vertical="center"/>
    </xf>
    <xf numFmtId="3" fontId="107" fillId="0" borderId="0" xfId="6" applyNumberFormat="1" applyFont="1" applyFill="1" applyAlignment="1" applyProtection="1">
      <alignment horizontal="center" vertical="center"/>
      <protection hidden="1"/>
    </xf>
    <xf numFmtId="4" fontId="107" fillId="0" borderId="0" xfId="6" applyNumberFormat="1" applyFont="1" applyFill="1" applyAlignment="1" applyProtection="1">
      <alignment horizontal="center" vertical="center"/>
      <protection hidden="1"/>
    </xf>
    <xf numFmtId="165" fontId="107" fillId="0" borderId="0" xfId="6" applyNumberFormat="1" applyFont="1" applyFill="1" applyAlignment="1" applyProtection="1">
      <alignment horizontal="center" vertical="center"/>
      <protection hidden="1"/>
    </xf>
    <xf numFmtId="164" fontId="107" fillId="0" borderId="0" xfId="6" applyNumberFormat="1" applyFont="1" applyFill="1" applyAlignment="1" applyProtection="1">
      <alignment horizontal="center" vertical="center"/>
      <protection hidden="1"/>
    </xf>
    <xf numFmtId="4" fontId="108" fillId="0" borderId="0" xfId="6" applyNumberFormat="1" applyFont="1" applyFill="1" applyAlignment="1" applyProtection="1">
      <alignment horizontal="center" vertical="center"/>
      <protection hidden="1"/>
    </xf>
    <xf numFmtId="4" fontId="105" fillId="0" borderId="0" xfId="4" applyNumberFormat="1" applyFont="1" applyFill="1" applyAlignment="1">
      <alignment horizontal="right" vertical="center" wrapText="1"/>
    </xf>
    <xf numFmtId="0" fontId="43" fillId="0" borderId="2" xfId="0" applyFont="1" applyBorder="1" applyAlignment="1">
      <alignment vertical="center" wrapText="1"/>
    </xf>
    <xf numFmtId="0" fontId="6" fillId="0" borderId="13" xfId="0" applyFont="1" applyBorder="1" applyAlignment="1">
      <alignment horizontal="center" vertical="center"/>
    </xf>
    <xf numFmtId="0" fontId="6" fillId="0" borderId="1" xfId="0" applyFont="1" applyFill="1" applyBorder="1" applyProtection="1">
      <protection hidden="1"/>
    </xf>
    <xf numFmtId="0" fontId="6" fillId="0" borderId="36" xfId="0" applyFont="1" applyFill="1" applyBorder="1" applyAlignment="1" applyProtection="1">
      <alignment horizontal="center"/>
      <protection hidden="1"/>
    </xf>
    <xf numFmtId="0" fontId="6" fillId="0" borderId="37" xfId="0" applyFont="1" applyFill="1" applyBorder="1" applyAlignment="1" applyProtection="1">
      <alignment horizontal="center"/>
      <protection hidden="1"/>
    </xf>
    <xf numFmtId="0" fontId="6" fillId="0" borderId="38" xfId="0" applyFont="1" applyFill="1" applyBorder="1" applyAlignment="1" applyProtection="1">
      <alignment horizontal="center"/>
      <protection hidden="1"/>
    </xf>
    <xf numFmtId="0" fontId="6" fillId="0" borderId="39" xfId="0" applyFont="1" applyFill="1" applyBorder="1" applyProtection="1">
      <protection hidden="1"/>
    </xf>
    <xf numFmtId="0" fontId="6" fillId="0" borderId="40" xfId="0" applyFont="1" applyFill="1" applyBorder="1" applyProtection="1">
      <protection hidden="1"/>
    </xf>
    <xf numFmtId="0" fontId="6" fillId="0" borderId="41" xfId="0" applyFont="1" applyFill="1" applyBorder="1" applyProtection="1">
      <protection hidden="1"/>
    </xf>
    <xf numFmtId="0" fontId="6" fillId="0" borderId="42" xfId="0" applyFont="1" applyFill="1" applyBorder="1" applyProtection="1">
      <protection hidden="1"/>
    </xf>
    <xf numFmtId="0" fontId="6" fillId="0" borderId="43" xfId="0" applyFont="1" applyFill="1" applyBorder="1" applyProtection="1">
      <protection hidden="1"/>
    </xf>
    <xf numFmtId="0" fontId="6" fillId="0" borderId="44" xfId="0" applyFont="1" applyFill="1" applyBorder="1" applyProtection="1">
      <protection hidden="1"/>
    </xf>
    <xf numFmtId="0" fontId="6" fillId="0" borderId="3" xfId="0" applyFont="1" applyFill="1" applyBorder="1" applyAlignment="1" applyProtection="1">
      <alignment horizontal="left" vertical="center"/>
      <protection hidden="1"/>
    </xf>
    <xf numFmtId="0" fontId="6" fillId="0" borderId="34" xfId="0" applyFont="1" applyFill="1" applyBorder="1" applyAlignment="1" applyProtection="1">
      <alignment vertical="center"/>
      <protection locked="0"/>
    </xf>
    <xf numFmtId="0" fontId="6" fillId="0" borderId="35" xfId="0" applyFont="1" applyFill="1" applyBorder="1" applyAlignment="1" applyProtection="1">
      <alignment vertical="center"/>
      <protection locked="0"/>
    </xf>
    <xf numFmtId="3" fontId="6" fillId="0" borderId="0" xfId="4" applyNumberFormat="1" applyFont="1" applyAlignment="1">
      <alignment horizontal="centerContinuous" vertical="center"/>
    </xf>
    <xf numFmtId="3" fontId="15" fillId="0" borderId="0" xfId="4" applyNumberFormat="1" applyFont="1" applyAlignment="1">
      <alignment horizontal="centerContinuous" vertical="center"/>
    </xf>
    <xf numFmtId="3" fontId="105" fillId="0" borderId="0" xfId="4" applyNumberFormat="1" applyFont="1" applyAlignment="1">
      <alignment vertical="center"/>
    </xf>
    <xf numFmtId="3" fontId="105" fillId="0" borderId="0" xfId="4" applyNumberFormat="1" applyFont="1" applyFill="1" applyAlignment="1">
      <alignment vertical="center"/>
    </xf>
    <xf numFmtId="0" fontId="2" fillId="3" borderId="34" xfId="4" applyFont="1" applyFill="1" applyBorder="1" applyAlignment="1">
      <alignment horizontal="center" vertical="center"/>
    </xf>
    <xf numFmtId="0" fontId="2" fillId="3" borderId="34" xfId="4" applyFont="1" applyFill="1" applyBorder="1" applyAlignment="1">
      <alignment vertical="center"/>
    </xf>
    <xf numFmtId="0" fontId="39" fillId="0" borderId="2" xfId="0" applyFont="1" applyFill="1" applyBorder="1" applyAlignment="1" applyProtection="1">
      <alignment horizontal="center" vertical="center"/>
      <protection hidden="1"/>
    </xf>
    <xf numFmtId="0" fontId="6" fillId="0" borderId="2" xfId="0" applyFont="1" applyFill="1" applyBorder="1" applyAlignment="1" applyProtection="1">
      <alignment horizontal="justify" vertical="center"/>
      <protection hidden="1"/>
    </xf>
    <xf numFmtId="3" fontId="6" fillId="0" borderId="2" xfId="0" applyNumberFormat="1" applyFont="1" applyFill="1" applyBorder="1" applyAlignment="1" applyProtection="1">
      <alignment vertical="center"/>
      <protection hidden="1"/>
    </xf>
    <xf numFmtId="182" fontId="6" fillId="0" borderId="2" xfId="0" applyNumberFormat="1" applyFont="1" applyFill="1" applyBorder="1" applyAlignment="1" applyProtection="1">
      <alignment vertical="center"/>
      <protection hidden="1"/>
    </xf>
    <xf numFmtId="0" fontId="2" fillId="3" borderId="22" xfId="4" applyFont="1" applyFill="1" applyBorder="1" applyAlignment="1">
      <alignment horizontal="center" vertical="center"/>
    </xf>
    <xf numFmtId="0" fontId="2" fillId="3" borderId="22" xfId="4" applyFont="1" applyFill="1" applyBorder="1" applyAlignment="1">
      <alignment vertical="center"/>
    </xf>
    <xf numFmtId="0" fontId="6" fillId="0" borderId="2" xfId="0" applyFont="1" applyFill="1" applyBorder="1" applyAlignment="1" applyProtection="1">
      <alignment horizontal="justify" vertical="center" wrapText="1"/>
      <protection hidden="1"/>
    </xf>
    <xf numFmtId="165" fontId="6" fillId="0" borderId="2" xfId="0" applyNumberFormat="1" applyFont="1" applyFill="1" applyBorder="1" applyAlignment="1" applyProtection="1">
      <alignment vertical="center"/>
      <protection hidden="1"/>
    </xf>
    <xf numFmtId="0" fontId="39" fillId="0" borderId="17" xfId="0" applyFont="1" applyFill="1" applyBorder="1" applyAlignment="1" applyProtection="1">
      <alignment horizontal="center" vertical="center"/>
      <protection hidden="1"/>
    </xf>
    <xf numFmtId="0" fontId="6" fillId="0" borderId="17" xfId="0" applyFont="1" applyFill="1" applyBorder="1" applyAlignment="1" applyProtection="1">
      <alignment horizontal="justify" vertical="center" wrapText="1"/>
      <protection hidden="1"/>
    </xf>
    <xf numFmtId="3" fontId="6" fillId="0" borderId="17" xfId="0" applyNumberFormat="1" applyFont="1" applyFill="1" applyBorder="1" applyAlignment="1" applyProtection="1">
      <alignment vertical="center"/>
      <protection hidden="1"/>
    </xf>
    <xf numFmtId="182" fontId="6" fillId="0" borderId="17" xfId="0" applyNumberFormat="1" applyFont="1" applyFill="1" applyBorder="1" applyAlignment="1" applyProtection="1">
      <alignment vertical="center"/>
      <protection hidden="1"/>
    </xf>
    <xf numFmtId="0" fontId="6" fillId="0" borderId="45" xfId="0" applyFont="1" applyFill="1" applyBorder="1" applyAlignment="1" applyProtection="1">
      <alignment horizontal="center"/>
      <protection hidden="1"/>
    </xf>
    <xf numFmtId="0" fontId="6" fillId="0" borderId="46" xfId="0" applyFont="1" applyFill="1" applyBorder="1" applyProtection="1">
      <protection hidden="1"/>
    </xf>
    <xf numFmtId="181" fontId="17" fillId="0" borderId="2" xfId="0" applyNumberFormat="1" applyFont="1" applyFill="1" applyBorder="1" applyAlignment="1" applyProtection="1">
      <alignment vertical="center"/>
      <protection hidden="1"/>
    </xf>
    <xf numFmtId="181" fontId="2" fillId="3" borderId="22" xfId="4" applyNumberFormat="1" applyFont="1" applyFill="1" applyBorder="1" applyAlignment="1">
      <alignment vertical="center"/>
    </xf>
    <xf numFmtId="181" fontId="17" fillId="0" borderId="17" xfId="0" applyNumberFormat="1" applyFont="1" applyFill="1" applyBorder="1" applyAlignment="1" applyProtection="1">
      <alignment vertical="center"/>
      <protection hidden="1"/>
    </xf>
    <xf numFmtId="0" fontId="51" fillId="0" borderId="0" xfId="0" applyFont="1" applyFill="1" applyBorder="1" applyAlignment="1" applyProtection="1">
      <alignment vertical="center"/>
      <protection hidden="1"/>
    </xf>
    <xf numFmtId="0" fontId="6" fillId="0" borderId="0" xfId="0" applyFont="1" applyFill="1" applyBorder="1" applyProtection="1">
      <protection hidden="1"/>
    </xf>
    <xf numFmtId="0" fontId="110" fillId="0" borderId="0" xfId="0" applyFont="1" applyFill="1" applyBorder="1" applyAlignment="1" applyProtection="1">
      <alignment vertical="center"/>
      <protection hidden="1"/>
    </xf>
    <xf numFmtId="1" fontId="39" fillId="0" borderId="2" xfId="0" applyNumberFormat="1" applyFont="1" applyFill="1" applyBorder="1" applyAlignment="1" applyProtection="1">
      <alignment horizontal="center" vertical="center"/>
      <protection hidden="1"/>
    </xf>
    <xf numFmtId="0" fontId="6" fillId="0" borderId="13" xfId="0" applyFont="1" applyFill="1" applyBorder="1" applyAlignment="1" applyProtection="1">
      <alignment horizontal="left" vertical="center"/>
      <protection hidden="1"/>
    </xf>
    <xf numFmtId="3" fontId="47" fillId="0" borderId="20" xfId="0" applyNumberFormat="1" applyFont="1" applyFill="1" applyBorder="1" applyAlignment="1">
      <alignment horizontal="center" vertical="center" wrapText="1"/>
    </xf>
    <xf numFmtId="3" fontId="6" fillId="0" borderId="2" xfId="0" applyNumberFormat="1" applyFont="1" applyBorder="1" applyAlignment="1">
      <alignment horizontal="center" vertical="center"/>
    </xf>
    <xf numFmtId="3" fontId="17" fillId="0" borderId="0" xfId="0" applyNumberFormat="1" applyFont="1" applyFill="1" applyBorder="1" applyAlignment="1">
      <alignment horizontal="center" vertical="center"/>
    </xf>
    <xf numFmtId="3" fontId="38" fillId="0" borderId="0" xfId="0" applyNumberFormat="1" applyFont="1" applyAlignment="1">
      <alignment horizontal="centerContinuous"/>
    </xf>
    <xf numFmtId="3" fontId="47" fillId="0" borderId="0" xfId="0" applyNumberFormat="1" applyFont="1" applyFill="1" applyBorder="1" applyAlignment="1">
      <alignment horizontal="center" vertical="center"/>
    </xf>
    <xf numFmtId="3" fontId="36" fillId="0" borderId="0" xfId="0" applyNumberFormat="1" applyFont="1" applyFill="1" applyBorder="1" applyAlignment="1">
      <alignment horizontal="center" vertical="center"/>
    </xf>
    <xf numFmtId="3" fontId="0" fillId="0" borderId="0" xfId="0" applyNumberFormat="1"/>
    <xf numFmtId="0" fontId="38" fillId="0" borderId="0" xfId="4" applyFont="1" applyFill="1" applyAlignment="1">
      <alignment vertical="center" wrapText="1"/>
    </xf>
    <xf numFmtId="0" fontId="15" fillId="0" borderId="0" xfId="4" applyFont="1" applyAlignment="1">
      <alignment horizontal="left" vertical="center"/>
    </xf>
    <xf numFmtId="0" fontId="6" fillId="0" borderId="15" xfId="4" applyFont="1" applyFill="1" applyBorder="1"/>
    <xf numFmtId="0" fontId="6" fillId="0" borderId="0" xfId="4" applyFont="1" applyBorder="1"/>
    <xf numFmtId="0" fontId="0" fillId="0" borderId="0" xfId="0" applyFill="1" applyBorder="1" applyAlignment="1">
      <alignment vertical="center"/>
    </xf>
    <xf numFmtId="0" fontId="6" fillId="0" borderId="13" xfId="4" applyFont="1" applyFill="1" applyBorder="1"/>
    <xf numFmtId="0" fontId="6" fillId="0" borderId="13" xfId="4" applyNumberFormat="1" applyFont="1" applyFill="1" applyBorder="1"/>
    <xf numFmtId="0" fontId="6" fillId="0" borderId="21" xfId="4" applyNumberFormat="1" applyFont="1" applyFill="1" applyBorder="1"/>
    <xf numFmtId="0" fontId="6" fillId="0" borderId="21" xfId="4" applyFont="1" applyFill="1" applyBorder="1"/>
    <xf numFmtId="0" fontId="6" fillId="0" borderId="1" xfId="4" applyNumberFormat="1" applyFont="1" applyFill="1" applyBorder="1"/>
    <xf numFmtId="0" fontId="6" fillId="0" borderId="14" xfId="4" applyFont="1" applyFill="1" applyBorder="1"/>
    <xf numFmtId="184" fontId="57" fillId="0" borderId="0" xfId="4" applyNumberFormat="1" applyFont="1" applyAlignment="1">
      <alignment horizontal="right" vertical="center"/>
    </xf>
    <xf numFmtId="184" fontId="15" fillId="0" borderId="0" xfId="3" applyNumberFormat="1" applyFont="1" applyAlignment="1" applyProtection="1">
      <alignment vertical="center"/>
      <protection locked="0"/>
    </xf>
    <xf numFmtId="184" fontId="15" fillId="0" borderId="0" xfId="3" applyNumberFormat="1" applyFont="1" applyFill="1" applyAlignment="1" applyProtection="1">
      <alignment vertical="center"/>
      <protection locked="0"/>
    </xf>
    <xf numFmtId="0" fontId="98" fillId="0" borderId="0" xfId="4" applyFont="1" applyAlignment="1" applyProtection="1">
      <alignment horizontal="centerContinuous" vertical="center"/>
      <protection locked="0"/>
    </xf>
    <xf numFmtId="0" fontId="77" fillId="0" borderId="0" xfId="4" applyFont="1" applyAlignment="1" applyProtection="1">
      <alignment horizontal="centerContinuous" vertical="center"/>
      <protection locked="0"/>
    </xf>
    <xf numFmtId="0" fontId="67" fillId="0" borderId="0" xfId="5" applyFont="1" applyAlignment="1">
      <alignment horizontal="center" vertical="center"/>
    </xf>
    <xf numFmtId="4" fontId="39" fillId="0" borderId="0" xfId="6" applyNumberFormat="1" applyFont="1" applyFill="1" applyAlignment="1" applyProtection="1">
      <alignment horizontal="center" vertical="center"/>
      <protection hidden="1"/>
    </xf>
    <xf numFmtId="3" fontId="39" fillId="0" borderId="0" xfId="6" applyNumberFormat="1" applyFont="1" applyFill="1" applyAlignment="1" applyProtection="1">
      <alignment horizontal="center" vertical="center"/>
      <protection hidden="1"/>
    </xf>
    <xf numFmtId="3" fontId="107" fillId="0" borderId="0" xfId="6" applyNumberFormat="1" applyFont="1" applyFill="1" applyAlignment="1" applyProtection="1">
      <alignment horizontal="right" vertical="center"/>
      <protection hidden="1"/>
    </xf>
    <xf numFmtId="0" fontId="6" fillId="0" borderId="0" xfId="4" applyFont="1" applyAlignment="1">
      <alignment horizontal="justify" vertical="center" wrapText="1"/>
    </xf>
    <xf numFmtId="0" fontId="125" fillId="0" borderId="0" xfId="4" applyFont="1" applyAlignment="1">
      <alignment horizontal="center" vertical="center" wrapText="1"/>
    </xf>
    <xf numFmtId="0" fontId="125" fillId="0" borderId="0" xfId="4" applyFont="1" applyAlignment="1">
      <alignment vertical="center" wrapText="1"/>
    </xf>
    <xf numFmtId="0" fontId="58" fillId="0" borderId="0" xfId="4" applyFont="1" applyAlignment="1">
      <alignment horizontal="centerContinuous" vertical="center" wrapText="1"/>
    </xf>
    <xf numFmtId="0" fontId="38" fillId="0" borderId="0" xfId="4" applyFont="1" applyAlignment="1">
      <alignment horizontal="centerContinuous" vertical="center" wrapText="1"/>
    </xf>
    <xf numFmtId="3" fontId="6" fillId="0" borderId="0" xfId="4" applyNumberFormat="1" applyFont="1" applyAlignment="1">
      <alignment vertical="center"/>
    </xf>
    <xf numFmtId="0" fontId="39" fillId="0" borderId="0" xfId="5" applyFont="1" applyAlignment="1">
      <alignment horizontal="centerContinuous" vertical="center"/>
    </xf>
    <xf numFmtId="0" fontId="39" fillId="0" borderId="0" xfId="5" applyFont="1" applyAlignment="1">
      <alignment horizontal="centerContinuous" vertical="center" wrapText="1"/>
    </xf>
    <xf numFmtId="184" fontId="39" fillId="0" borderId="0" xfId="5" applyNumberFormat="1" applyFont="1" applyBorder="1" applyAlignment="1">
      <alignment horizontal="right" vertical="center"/>
    </xf>
    <xf numFmtId="3" fontId="39" fillId="0" borderId="0" xfId="6" applyNumberFormat="1" applyFont="1" applyFill="1" applyBorder="1" applyAlignment="1" applyProtection="1">
      <alignment vertical="center"/>
      <protection hidden="1"/>
    </xf>
    <xf numFmtId="184" fontId="39" fillId="0" borderId="33" xfId="5" applyNumberFormat="1" applyFont="1" applyBorder="1" applyAlignment="1">
      <alignment horizontal="right" vertical="center"/>
    </xf>
    <xf numFmtId="184" fontId="39" fillId="0" borderId="33" xfId="5" applyNumberFormat="1" applyFont="1" applyBorder="1" applyAlignment="1">
      <alignment horizontal="left" vertical="center"/>
    </xf>
    <xf numFmtId="4" fontId="39" fillId="0" borderId="32" xfId="6" applyNumberFormat="1" applyFont="1" applyFill="1" applyBorder="1" applyAlignment="1" applyProtection="1">
      <alignment horizontal="left" vertical="center"/>
      <protection hidden="1"/>
    </xf>
    <xf numFmtId="165" fontId="39" fillId="0" borderId="32" xfId="6" applyNumberFormat="1" applyFont="1" applyFill="1" applyBorder="1" applyAlignment="1" applyProtection="1">
      <alignment horizontal="centerContinuous" vertical="center"/>
      <protection hidden="1"/>
    </xf>
    <xf numFmtId="3" fontId="39" fillId="0" borderId="32" xfId="6" applyNumberFormat="1" applyFont="1" applyFill="1" applyBorder="1" applyAlignment="1" applyProtection="1">
      <alignment horizontal="right" vertical="center"/>
      <protection hidden="1"/>
    </xf>
    <xf numFmtId="3" fontId="39" fillId="0" borderId="32" xfId="6" applyNumberFormat="1" applyFont="1" applyFill="1" applyBorder="1" applyAlignment="1" applyProtection="1">
      <alignment vertical="center"/>
      <protection hidden="1"/>
    </xf>
    <xf numFmtId="184" fontId="39" fillId="0" borderId="0" xfId="5" applyNumberFormat="1" applyFont="1" applyAlignment="1">
      <alignment horizontal="right" vertical="center"/>
    </xf>
    <xf numFmtId="184" fontId="39" fillId="0" borderId="0" xfId="5" applyNumberFormat="1" applyFont="1" applyAlignment="1">
      <alignment horizontal="left" vertical="center"/>
    </xf>
    <xf numFmtId="0" fontId="126" fillId="0" borderId="0" xfId="5" applyFont="1" applyAlignment="1">
      <alignment horizontal="centerContinuous" vertical="center"/>
    </xf>
    <xf numFmtId="0" fontId="127" fillId="0" borderId="0" xfId="5" applyFont="1" applyAlignment="1">
      <alignment horizontal="centerContinuous" vertical="center" wrapText="1"/>
    </xf>
    <xf numFmtId="0" fontId="128" fillId="0" borderId="0" xfId="4" applyFont="1" applyAlignment="1">
      <alignment horizontal="centerContinuous" vertical="center"/>
    </xf>
    <xf numFmtId="0" fontId="129" fillId="0" borderId="30" xfId="3" applyFont="1" applyBorder="1" applyAlignment="1" applyProtection="1">
      <alignment horizontal="center" vertical="center"/>
      <protection locked="0"/>
    </xf>
    <xf numFmtId="0" fontId="126" fillId="0" borderId="0" xfId="5" applyFont="1" applyAlignment="1">
      <alignment horizontal="centerContinuous" vertical="center" wrapText="1"/>
    </xf>
    <xf numFmtId="0" fontId="128" fillId="0" borderId="0" xfId="4" applyFont="1" applyAlignment="1">
      <alignment horizontal="centerContinuous" vertical="center" wrapText="1"/>
    </xf>
    <xf numFmtId="0" fontId="75" fillId="0" borderId="30" xfId="3" applyFont="1" applyBorder="1" applyAlignment="1" applyProtection="1">
      <alignment horizontal="justify" vertical="center" wrapText="1"/>
      <protection locked="0"/>
    </xf>
    <xf numFmtId="164" fontId="72" fillId="0" borderId="0" xfId="5" applyNumberFormat="1" applyFont="1" applyAlignment="1">
      <alignment horizontal="centerContinuous" vertical="center"/>
    </xf>
    <xf numFmtId="164" fontId="73" fillId="0" borderId="0" xfId="5" applyNumberFormat="1" applyFont="1" applyAlignment="1">
      <alignment horizontal="centerContinuous" vertical="center"/>
    </xf>
    <xf numFmtId="164" fontId="74" fillId="0" borderId="0" xfId="4" applyNumberFormat="1" applyFont="1" applyAlignment="1">
      <alignment horizontal="centerContinuous" vertical="center"/>
    </xf>
    <xf numFmtId="164" fontId="15" fillId="0" borderId="0" xfId="3" applyNumberFormat="1" applyFont="1" applyAlignment="1" applyProtection="1">
      <alignment vertical="center"/>
      <protection locked="0"/>
    </xf>
    <xf numFmtId="0" fontId="39" fillId="0" borderId="0" xfId="5" applyFont="1" applyFill="1"/>
    <xf numFmtId="0" fontId="39" fillId="0" borderId="0" xfId="5" applyFont="1"/>
    <xf numFmtId="0" fontId="4" fillId="0" borderId="0" xfId="0" applyFont="1"/>
    <xf numFmtId="0" fontId="4" fillId="0" borderId="0" xfId="0" applyFont="1" applyAlignment="1">
      <alignment horizontal="justify" wrapText="1"/>
    </xf>
    <xf numFmtId="3" fontId="4" fillId="0" borderId="0" xfId="0" applyNumberFormat="1" applyFont="1"/>
    <xf numFmtId="0" fontId="39" fillId="0" borderId="0" xfId="5" applyFont="1" applyFill="1" applyAlignment="1">
      <alignment horizontal="justify" wrapText="1"/>
    </xf>
    <xf numFmtId="184" fontId="130" fillId="0" borderId="0" xfId="0" applyNumberFormat="1" applyFont="1"/>
    <xf numFmtId="164" fontId="130" fillId="0" borderId="0" xfId="0" applyNumberFormat="1" applyFont="1"/>
    <xf numFmtId="0" fontId="130" fillId="0" borderId="0" xfId="0" applyFont="1"/>
    <xf numFmtId="184" fontId="39" fillId="0" borderId="0" xfId="5" applyNumberFormat="1" applyFont="1"/>
    <xf numFmtId="164" fontId="39" fillId="0" borderId="0" xfId="5" applyNumberFormat="1" applyFont="1"/>
    <xf numFmtId="0" fontId="39" fillId="0" borderId="0" xfId="5" applyFont="1" applyAlignment="1">
      <alignment horizontal="justify" wrapText="1"/>
    </xf>
    <xf numFmtId="2" fontId="39" fillId="0" borderId="0" xfId="5" applyNumberFormat="1" applyFont="1"/>
    <xf numFmtId="184" fontId="39" fillId="0" borderId="0" xfId="5" applyNumberFormat="1" applyFont="1" applyFill="1"/>
    <xf numFmtId="0" fontId="39" fillId="0" borderId="0" xfId="5" applyFont="1" applyBorder="1"/>
    <xf numFmtId="0" fontId="39" fillId="0" borderId="33" xfId="5" applyFont="1" applyBorder="1"/>
    <xf numFmtId="0" fontId="39" fillId="0" borderId="0" xfId="5" applyFont="1" applyAlignment="1">
      <alignment horizontal="center" vertical="center"/>
    </xf>
    <xf numFmtId="0" fontId="39" fillId="0" borderId="0" xfId="5" applyFont="1" applyAlignment="1">
      <alignment vertical="center"/>
    </xf>
    <xf numFmtId="0" fontId="39" fillId="0" borderId="0" xfId="5" applyFont="1" applyAlignment="1">
      <alignment vertical="center" wrapText="1"/>
    </xf>
    <xf numFmtId="184" fontId="39" fillId="0" borderId="0" xfId="5" applyNumberFormat="1" applyFont="1" applyAlignment="1">
      <alignment vertical="center"/>
    </xf>
    <xf numFmtId="0" fontId="39" fillId="5" borderId="14" xfId="5" applyFont="1" applyFill="1" applyBorder="1" applyAlignment="1">
      <alignment horizontal="centerContinuous" vertical="center"/>
    </xf>
    <xf numFmtId="0" fontId="39" fillId="5" borderId="15" xfId="5" applyFont="1" applyFill="1" applyBorder="1" applyAlignment="1">
      <alignment horizontal="centerContinuous" vertical="center"/>
    </xf>
    <xf numFmtId="165" fontId="52" fillId="3" borderId="3" xfId="6" applyNumberFormat="1" applyFont="1" applyFill="1" applyBorder="1" applyAlignment="1" applyProtection="1">
      <alignment vertical="center"/>
      <protection hidden="1"/>
    </xf>
    <xf numFmtId="165" fontId="39" fillId="3" borderId="3" xfId="6" applyNumberFormat="1" applyFont="1" applyFill="1" applyBorder="1" applyAlignment="1" applyProtection="1">
      <alignment horizontal="centerContinuous" vertical="center"/>
      <protection hidden="1"/>
    </xf>
    <xf numFmtId="164" fontId="39" fillId="3" borderId="3" xfId="6" applyNumberFormat="1" applyFont="1" applyFill="1" applyBorder="1" applyAlignment="1" applyProtection="1">
      <alignment horizontal="centerContinuous" vertical="center"/>
      <protection hidden="1"/>
    </xf>
    <xf numFmtId="3" fontId="39" fillId="3" borderId="3" xfId="6" applyNumberFormat="1" applyFont="1" applyFill="1" applyBorder="1" applyAlignment="1" applyProtection="1">
      <alignment horizontal="centerContinuous" vertical="center"/>
      <protection hidden="1"/>
    </xf>
    <xf numFmtId="4" fontId="52" fillId="0" borderId="2" xfId="6" applyNumberFormat="1" applyFont="1" applyFill="1" applyBorder="1" applyAlignment="1" applyProtection="1">
      <alignment horizontal="left" vertical="center"/>
      <protection hidden="1"/>
    </xf>
    <xf numFmtId="165" fontId="39" fillId="0" borderId="2" xfId="6" applyNumberFormat="1" applyFont="1" applyFill="1" applyBorder="1" applyAlignment="1" applyProtection="1">
      <alignment horizontal="center" vertical="center"/>
      <protection hidden="1"/>
    </xf>
    <xf numFmtId="164" fontId="39" fillId="0" borderId="2" xfId="6" applyNumberFormat="1" applyFont="1" applyFill="1" applyBorder="1" applyAlignment="1" applyProtection="1">
      <alignment horizontal="center" vertical="center" wrapText="1"/>
      <protection hidden="1"/>
    </xf>
    <xf numFmtId="3" fontId="39" fillId="0" borderId="2" xfId="6" applyNumberFormat="1" applyFont="1" applyFill="1" applyBorder="1" applyAlignment="1" applyProtection="1">
      <alignment horizontal="center" vertical="center" wrapText="1"/>
      <protection hidden="1"/>
    </xf>
    <xf numFmtId="3" fontId="39" fillId="0" borderId="2" xfId="6" applyNumberFormat="1" applyFont="1" applyFill="1" applyBorder="1" applyAlignment="1" applyProtection="1">
      <alignment horizontal="center" vertical="center"/>
      <protection hidden="1"/>
    </xf>
    <xf numFmtId="165" fontId="39" fillId="0" borderId="2" xfId="6" applyNumberFormat="1" applyFont="1" applyFill="1" applyBorder="1" applyAlignment="1" applyProtection="1">
      <alignment horizontal="center" vertical="center" wrapText="1"/>
      <protection hidden="1"/>
    </xf>
    <xf numFmtId="0" fontId="39" fillId="0" borderId="2" xfId="5" applyFont="1" applyFill="1" applyBorder="1" applyAlignment="1">
      <alignment vertical="center"/>
    </xf>
    <xf numFmtId="164" fontId="39" fillId="0" borderId="2" xfId="6" applyNumberFormat="1" applyFont="1" applyFill="1" applyBorder="1" applyAlignment="1" applyProtection="1">
      <alignment horizontal="center" vertical="center"/>
      <protection locked="0"/>
    </xf>
    <xf numFmtId="3" fontId="39" fillId="0" borderId="2" xfId="6" applyNumberFormat="1" applyFont="1" applyFill="1" applyBorder="1" applyAlignment="1" applyProtection="1">
      <alignment horizontal="right" vertical="center"/>
      <protection hidden="1"/>
    </xf>
    <xf numFmtId="0" fontId="39" fillId="5" borderId="2" xfId="5" applyFont="1" applyFill="1" applyBorder="1" applyAlignment="1">
      <alignment vertical="center"/>
    </xf>
    <xf numFmtId="3" fontId="39" fillId="5" borderId="2" xfId="6" applyNumberFormat="1" applyFont="1" applyFill="1" applyBorder="1" applyAlignment="1" applyProtection="1">
      <alignment horizontal="right" vertical="center"/>
      <protection hidden="1"/>
    </xf>
    <xf numFmtId="0" fontId="131" fillId="0" borderId="2" xfId="3" applyFont="1" applyFill="1" applyBorder="1" applyAlignment="1" applyProtection="1">
      <alignment vertical="center"/>
      <protection hidden="1"/>
    </xf>
    <xf numFmtId="4" fontId="39" fillId="0" borderId="2" xfId="6" applyNumberFormat="1" applyFont="1" applyFill="1" applyBorder="1" applyAlignment="1" applyProtection="1">
      <alignment horizontal="center" vertical="center" wrapText="1"/>
      <protection hidden="1"/>
    </xf>
    <xf numFmtId="3" fontId="39" fillId="0" borderId="2" xfId="6" applyNumberFormat="1" applyFont="1" applyFill="1" applyBorder="1" applyAlignment="1" applyProtection="1">
      <alignment horizontal="right" vertical="center" wrapText="1"/>
      <protection hidden="1"/>
    </xf>
    <xf numFmtId="3" fontId="39" fillId="0" borderId="2" xfId="8" applyNumberFormat="1" applyFont="1" applyFill="1" applyBorder="1" applyAlignment="1" applyProtection="1">
      <alignment horizontal="right" vertical="center"/>
      <protection hidden="1"/>
    </xf>
    <xf numFmtId="4" fontId="52" fillId="0" borderId="2" xfId="6" applyNumberFormat="1" applyFont="1" applyFill="1" applyBorder="1" applyAlignment="1" applyProtection="1">
      <alignment horizontal="center" vertical="center" wrapText="1"/>
      <protection hidden="1"/>
    </xf>
    <xf numFmtId="0" fontId="4" fillId="0" borderId="2" xfId="3" applyFont="1" applyFill="1" applyBorder="1" applyAlignment="1" applyProtection="1">
      <alignment horizontal="center" vertical="center" wrapText="1"/>
      <protection hidden="1"/>
    </xf>
    <xf numFmtId="2" fontId="4" fillId="0" borderId="2" xfId="3" applyNumberFormat="1" applyFont="1" applyFill="1" applyBorder="1" applyAlignment="1" applyProtection="1">
      <alignment horizontal="center" vertical="center" wrapText="1"/>
      <protection hidden="1"/>
    </xf>
    <xf numFmtId="0" fontId="39" fillId="0" borderId="2" xfId="3" applyFont="1" applyFill="1" applyBorder="1" applyAlignment="1" applyProtection="1">
      <alignment vertical="center"/>
      <protection hidden="1"/>
    </xf>
    <xf numFmtId="3" fontId="39" fillId="0" borderId="2" xfId="3" applyNumberFormat="1" applyFont="1" applyFill="1" applyBorder="1" applyAlignment="1" applyProtection="1">
      <alignment horizontal="right" vertical="center"/>
      <protection hidden="1"/>
    </xf>
    <xf numFmtId="3" fontId="4" fillId="0" borderId="2" xfId="3" applyNumberFormat="1" applyFont="1" applyFill="1" applyBorder="1" applyAlignment="1" applyProtection="1">
      <alignment horizontal="right" vertical="center" wrapText="1"/>
      <protection hidden="1"/>
    </xf>
    <xf numFmtId="49" fontId="131" fillId="0" borderId="2" xfId="3" applyNumberFormat="1" applyFont="1" applyFill="1" applyBorder="1" applyAlignment="1" applyProtection="1">
      <alignment horizontal="justify" vertical="center" wrapText="1"/>
      <protection hidden="1"/>
    </xf>
    <xf numFmtId="49" fontId="4" fillId="0" borderId="2" xfId="3" applyNumberFormat="1" applyFont="1" applyFill="1" applyBorder="1" applyAlignment="1" applyProtection="1">
      <alignment horizontal="center" vertical="center" wrapText="1"/>
      <protection hidden="1"/>
    </xf>
    <xf numFmtId="49" fontId="4" fillId="0" borderId="2" xfId="3" applyNumberFormat="1" applyFont="1" applyFill="1" applyBorder="1" applyAlignment="1" applyProtection="1">
      <alignment horizontal="justify" vertical="center" wrapText="1"/>
      <protection hidden="1"/>
    </xf>
    <xf numFmtId="4" fontId="39" fillId="0" borderId="2" xfId="6" applyNumberFormat="1" applyFont="1" applyFill="1" applyBorder="1" applyAlignment="1" applyProtection="1">
      <alignment horizontal="center" vertical="center"/>
      <protection hidden="1"/>
    </xf>
    <xf numFmtId="0" fontId="52" fillId="0" borderId="2" xfId="3" applyFont="1" applyFill="1" applyBorder="1" applyAlignment="1" applyProtection="1">
      <alignment horizontal="left" vertical="center"/>
      <protection hidden="1"/>
    </xf>
    <xf numFmtId="0" fontId="132" fillId="0" borderId="2" xfId="3" applyFont="1" applyFill="1" applyBorder="1" applyAlignment="1" applyProtection="1">
      <alignment horizontal="left" vertical="center"/>
      <protection hidden="1"/>
    </xf>
    <xf numFmtId="0" fontId="39" fillId="0" borderId="2" xfId="3" applyFont="1" applyFill="1" applyBorder="1" applyAlignment="1" applyProtection="1">
      <alignment horizontal="left" vertical="center"/>
      <protection hidden="1"/>
    </xf>
    <xf numFmtId="3" fontId="52" fillId="0" borderId="2" xfId="3" applyNumberFormat="1" applyFont="1" applyFill="1" applyBorder="1" applyAlignment="1" applyProtection="1">
      <alignment horizontal="right" vertical="center"/>
      <protection hidden="1"/>
    </xf>
    <xf numFmtId="0" fontId="4" fillId="0" borderId="2" xfId="3" applyFont="1" applyFill="1" applyBorder="1" applyAlignment="1" applyProtection="1">
      <alignment horizontal="center" vertical="center"/>
      <protection hidden="1"/>
    </xf>
    <xf numFmtId="4" fontId="52" fillId="0" borderId="2" xfId="6" applyNumberFormat="1" applyFont="1" applyFill="1" applyBorder="1" applyAlignment="1" applyProtection="1">
      <alignment horizontal="center" vertical="center"/>
      <protection hidden="1"/>
    </xf>
    <xf numFmtId="2" fontId="4" fillId="0" borderId="2" xfId="3" applyNumberFormat="1" applyFont="1" applyFill="1" applyBorder="1" applyAlignment="1" applyProtection="1">
      <alignment horizontal="center" vertical="center"/>
      <protection hidden="1"/>
    </xf>
    <xf numFmtId="0" fontId="52" fillId="0" borderId="2" xfId="3" applyFont="1" applyFill="1" applyBorder="1" applyAlignment="1" applyProtection="1">
      <alignment vertical="center"/>
      <protection hidden="1"/>
    </xf>
    <xf numFmtId="165" fontId="54" fillId="2" borderId="3" xfId="6" applyNumberFormat="1" applyFont="1" applyFill="1" applyBorder="1" applyAlignment="1" applyProtection="1">
      <alignment vertical="center"/>
      <protection hidden="1"/>
    </xf>
    <xf numFmtId="165" fontId="133" fillId="2" borderId="3" xfId="6" applyNumberFormat="1" applyFont="1" applyFill="1" applyBorder="1" applyAlignment="1" applyProtection="1">
      <alignment horizontal="centerContinuous" vertical="center"/>
      <protection hidden="1"/>
    </xf>
    <xf numFmtId="164" fontId="133" fillId="2" borderId="3" xfId="6" applyNumberFormat="1" applyFont="1" applyFill="1" applyBorder="1" applyAlignment="1" applyProtection="1">
      <alignment horizontal="centerContinuous" vertical="center"/>
      <protection hidden="1"/>
    </xf>
    <xf numFmtId="3" fontId="133" fillId="2" borderId="3" xfId="6" applyNumberFormat="1" applyFont="1" applyFill="1" applyBorder="1" applyAlignment="1" applyProtection="1">
      <alignment horizontal="centerContinuous" vertical="center"/>
      <protection hidden="1"/>
    </xf>
    <xf numFmtId="0" fontId="39" fillId="0" borderId="2" xfId="3" applyFont="1" applyFill="1" applyBorder="1" applyAlignment="1" applyProtection="1">
      <alignment horizontal="center" vertical="center" wrapText="1"/>
      <protection hidden="1"/>
    </xf>
    <xf numFmtId="2" fontId="39" fillId="0" borderId="2" xfId="3" applyNumberFormat="1" applyFont="1" applyFill="1" applyBorder="1" applyAlignment="1" applyProtection="1">
      <alignment horizontal="center" vertical="center"/>
      <protection hidden="1"/>
    </xf>
    <xf numFmtId="0" fontId="134" fillId="0" borderId="2" xfId="3" applyFont="1" applyFill="1" applyBorder="1" applyAlignment="1" applyProtection="1">
      <alignment horizontal="left" vertical="center"/>
      <protection hidden="1"/>
    </xf>
    <xf numFmtId="0" fontId="39" fillId="0" borderId="2" xfId="3" applyFont="1" applyFill="1" applyBorder="1" applyAlignment="1" applyProtection="1">
      <alignment horizontal="justify" vertical="center" wrapText="1"/>
      <protection hidden="1"/>
    </xf>
    <xf numFmtId="3" fontId="39" fillId="0" borderId="2" xfId="3" applyNumberFormat="1" applyFont="1" applyFill="1" applyBorder="1" applyAlignment="1" applyProtection="1">
      <alignment horizontal="right" vertical="center" wrapText="1"/>
      <protection hidden="1"/>
    </xf>
    <xf numFmtId="9" fontId="39" fillId="0" borderId="2" xfId="3" applyNumberFormat="1" applyFont="1" applyFill="1" applyBorder="1" applyAlignment="1" applyProtection="1">
      <alignment vertical="center"/>
      <protection hidden="1"/>
    </xf>
    <xf numFmtId="0" fontId="135" fillId="0" borderId="2" xfId="3" applyFont="1" applyFill="1" applyBorder="1" applyAlignment="1" applyProtection="1">
      <alignment horizontal="center" vertical="center"/>
      <protection hidden="1"/>
    </xf>
    <xf numFmtId="173" fontId="4" fillId="0" borderId="2" xfId="3" applyNumberFormat="1" applyFont="1" applyFill="1" applyBorder="1" applyAlignment="1" applyProtection="1">
      <alignment horizontal="center" vertical="center"/>
      <protection hidden="1"/>
    </xf>
    <xf numFmtId="3" fontId="4" fillId="0" borderId="2" xfId="3" applyNumberFormat="1" applyFont="1" applyFill="1" applyBorder="1" applyAlignment="1" applyProtection="1">
      <alignment horizontal="right" vertical="center"/>
      <protection hidden="1"/>
    </xf>
    <xf numFmtId="3" fontId="4" fillId="0" borderId="2" xfId="3" applyNumberFormat="1" applyFont="1" applyFill="1" applyBorder="1" applyAlignment="1" applyProtection="1">
      <alignment horizontal="left" vertical="center"/>
      <protection hidden="1"/>
    </xf>
    <xf numFmtId="3" fontId="4" fillId="0" borderId="2" xfId="3" applyNumberFormat="1" applyFont="1" applyFill="1" applyBorder="1" applyAlignment="1" applyProtection="1">
      <alignment horizontal="center" vertical="center"/>
      <protection hidden="1"/>
    </xf>
    <xf numFmtId="3" fontId="131" fillId="0" borderId="2" xfId="3" applyNumberFormat="1" applyFont="1" applyFill="1" applyBorder="1" applyAlignment="1" applyProtection="1">
      <alignment horizontal="right" vertical="center"/>
      <protection hidden="1"/>
    </xf>
    <xf numFmtId="4" fontId="4" fillId="0" borderId="2" xfId="3" applyNumberFormat="1" applyFont="1" applyFill="1" applyBorder="1" applyAlignment="1" applyProtection="1">
      <alignment horizontal="center" vertical="center"/>
      <protection hidden="1"/>
    </xf>
    <xf numFmtId="4" fontId="52" fillId="0" borderId="17" xfId="6" applyNumberFormat="1" applyFont="1" applyFill="1" applyBorder="1" applyAlignment="1" applyProtection="1">
      <alignment horizontal="center" vertical="center"/>
      <protection hidden="1"/>
    </xf>
    <xf numFmtId="0" fontId="39" fillId="0" borderId="17" xfId="3" applyFont="1" applyFill="1" applyBorder="1" applyAlignment="1" applyProtection="1">
      <alignment vertical="center"/>
      <protection hidden="1"/>
    </xf>
    <xf numFmtId="4" fontId="4" fillId="0" borderId="17" xfId="3" applyNumberFormat="1" applyFont="1" applyFill="1" applyBorder="1" applyAlignment="1" applyProtection="1">
      <alignment horizontal="center" vertical="center"/>
      <protection hidden="1"/>
    </xf>
    <xf numFmtId="3" fontId="39" fillId="0" borderId="17" xfId="6" applyNumberFormat="1" applyFont="1" applyFill="1" applyBorder="1" applyAlignment="1" applyProtection="1">
      <alignment horizontal="right" vertical="center"/>
      <protection hidden="1"/>
    </xf>
    <xf numFmtId="4" fontId="52" fillId="0" borderId="0" xfId="6" applyNumberFormat="1" applyFont="1" applyFill="1" applyBorder="1" applyAlignment="1" applyProtection="1">
      <alignment horizontal="center" vertical="center"/>
      <protection hidden="1"/>
    </xf>
    <xf numFmtId="0" fontId="39" fillId="0" borderId="0" xfId="3" applyFont="1" applyFill="1" applyBorder="1" applyAlignment="1" applyProtection="1">
      <alignment vertical="center"/>
      <protection hidden="1"/>
    </xf>
    <xf numFmtId="4" fontId="4" fillId="0" borderId="0" xfId="3" applyNumberFormat="1" applyFont="1" applyFill="1" applyBorder="1" applyAlignment="1" applyProtection="1">
      <alignment horizontal="center" vertical="center"/>
      <protection hidden="1"/>
    </xf>
    <xf numFmtId="3" fontId="39" fillId="0" borderId="0" xfId="3" applyNumberFormat="1" applyFont="1" applyFill="1" applyBorder="1" applyAlignment="1" applyProtection="1">
      <alignment horizontal="right" vertical="center"/>
      <protection hidden="1"/>
    </xf>
    <xf numFmtId="3" fontId="4" fillId="0" borderId="0" xfId="3" applyNumberFormat="1" applyFont="1" applyFill="1" applyBorder="1" applyAlignment="1" applyProtection="1">
      <alignment horizontal="right" vertical="center"/>
      <protection hidden="1"/>
    </xf>
    <xf numFmtId="3" fontId="39" fillId="0" borderId="0" xfId="6" applyNumberFormat="1" applyFont="1" applyFill="1" applyBorder="1" applyAlignment="1" applyProtection="1">
      <alignment horizontal="right" vertical="center"/>
      <protection hidden="1"/>
    </xf>
    <xf numFmtId="0" fontId="39" fillId="0" borderId="3" xfId="5" applyFont="1" applyFill="1" applyBorder="1" applyAlignment="1">
      <alignment vertical="center"/>
    </xf>
    <xf numFmtId="165" fontId="39" fillId="0" borderId="3" xfId="6" applyNumberFormat="1" applyFont="1" applyFill="1" applyBorder="1" applyAlignment="1" applyProtection="1">
      <alignment horizontal="center" vertical="center"/>
      <protection hidden="1"/>
    </xf>
    <xf numFmtId="164" fontId="39" fillId="0" borderId="3" xfId="6" applyNumberFormat="1" applyFont="1" applyFill="1" applyBorder="1" applyAlignment="1" applyProtection="1">
      <alignment horizontal="center" vertical="center"/>
      <protection locked="0"/>
    </xf>
    <xf numFmtId="3" fontId="39" fillId="0" borderId="3" xfId="6" applyNumberFormat="1" applyFont="1" applyFill="1" applyBorder="1" applyAlignment="1" applyProtection="1">
      <alignment horizontal="right" vertical="center"/>
      <protection hidden="1"/>
    </xf>
    <xf numFmtId="0" fontId="39" fillId="0" borderId="17" xfId="5" applyFont="1" applyFill="1" applyBorder="1" applyAlignment="1">
      <alignment vertical="center"/>
    </xf>
    <xf numFmtId="165" fontId="39" fillId="0" borderId="17" xfId="6" applyNumberFormat="1" applyFont="1" applyFill="1" applyBorder="1" applyAlignment="1" applyProtection="1">
      <alignment horizontal="center" vertical="center"/>
      <protection hidden="1"/>
    </xf>
    <xf numFmtId="164" fontId="39" fillId="0" borderId="17" xfId="6" applyNumberFormat="1" applyFont="1" applyFill="1" applyBorder="1" applyAlignment="1" applyProtection="1">
      <alignment horizontal="center" vertical="center"/>
      <protection locked="0"/>
    </xf>
    <xf numFmtId="0" fontId="52" fillId="0" borderId="0" xfId="5" applyFont="1" applyAlignment="1">
      <alignment horizontal="centerContinuous" vertical="center"/>
    </xf>
    <xf numFmtId="0" fontId="131" fillId="0" borderId="0" xfId="4" applyFont="1" applyAlignment="1" applyProtection="1">
      <alignment horizontal="centerContinuous" vertical="center"/>
      <protection locked="0"/>
    </xf>
    <xf numFmtId="184" fontId="39" fillId="0" borderId="0" xfId="5" applyNumberFormat="1" applyFont="1" applyAlignment="1">
      <alignment horizontal="centerContinuous" vertical="center"/>
    </xf>
    <xf numFmtId="184" fontId="39" fillId="0" borderId="0" xfId="5" applyNumberFormat="1" applyFont="1" applyBorder="1" applyAlignment="1">
      <alignment horizontal="centerContinuous" vertical="center"/>
    </xf>
    <xf numFmtId="164" fontId="39" fillId="0" borderId="32" xfId="6" applyNumberFormat="1" applyFont="1" applyFill="1" applyBorder="1" applyAlignment="1" applyProtection="1">
      <alignment horizontal="centerContinuous" vertical="center"/>
      <protection hidden="1"/>
    </xf>
    <xf numFmtId="4" fontId="39" fillId="0" borderId="0" xfId="6" applyNumberFormat="1" applyFont="1" applyFill="1" applyBorder="1" applyAlignment="1" applyProtection="1">
      <alignment horizontal="center" vertical="center"/>
      <protection hidden="1"/>
    </xf>
    <xf numFmtId="3" fontId="39" fillId="0" borderId="0" xfId="6" applyNumberFormat="1" applyFont="1" applyFill="1" applyAlignment="1" applyProtection="1">
      <alignment horizontal="left" vertical="center"/>
      <protection hidden="1"/>
    </xf>
    <xf numFmtId="0" fontId="55" fillId="0" borderId="0" xfId="5" applyFont="1" applyAlignment="1">
      <alignment horizontal="right" vertical="center"/>
    </xf>
    <xf numFmtId="0" fontId="52" fillId="5" borderId="1" xfId="5" applyFont="1" applyFill="1" applyBorder="1" applyAlignment="1">
      <alignment horizontal="centerContinuous" vertical="center"/>
    </xf>
    <xf numFmtId="184" fontId="52" fillId="5" borderId="13" xfId="5" applyNumberFormat="1" applyFont="1" applyFill="1" applyBorder="1" applyAlignment="1">
      <alignment horizontal="center" vertical="center" wrapText="1"/>
    </xf>
    <xf numFmtId="186" fontId="52" fillId="5" borderId="13" xfId="5" applyNumberFormat="1" applyFont="1" applyFill="1" applyBorder="1" applyAlignment="1">
      <alignment horizontal="center" vertical="center"/>
    </xf>
    <xf numFmtId="0" fontId="54" fillId="2" borderId="0" xfId="5" applyFont="1" applyFill="1" applyAlignment="1">
      <alignment horizontal="centerContinuous" vertical="center"/>
    </xf>
    <xf numFmtId="4" fontId="52" fillId="0" borderId="0" xfId="6" applyNumberFormat="1" applyFont="1" applyFill="1" applyAlignment="1" applyProtection="1">
      <alignment horizontal="center" vertical="center"/>
      <protection hidden="1"/>
    </xf>
    <xf numFmtId="165" fontId="39" fillId="0" borderId="0" xfId="6" applyNumberFormat="1" applyFont="1" applyFill="1" applyAlignment="1" applyProtection="1">
      <alignment horizontal="center" vertical="center"/>
      <protection hidden="1"/>
    </xf>
    <xf numFmtId="164" fontId="39" fillId="0" borderId="0" xfId="6" applyNumberFormat="1" applyFont="1" applyFill="1" applyAlignment="1" applyProtection="1">
      <alignment horizontal="center" vertical="center"/>
      <protection hidden="1"/>
    </xf>
    <xf numFmtId="164" fontId="39" fillId="0" borderId="0" xfId="6" applyNumberFormat="1" applyFont="1" applyFill="1" applyBorder="1" applyAlignment="1" applyProtection="1">
      <alignment horizontal="center" vertical="center"/>
      <protection hidden="1"/>
    </xf>
    <xf numFmtId="185" fontId="39" fillId="0" borderId="0" xfId="6" applyNumberFormat="1" applyFont="1" applyFill="1" applyBorder="1" applyAlignment="1" applyProtection="1">
      <alignment horizontal="center" vertical="center"/>
      <protection hidden="1"/>
    </xf>
    <xf numFmtId="0" fontId="39" fillId="8" borderId="2" xfId="5" applyFont="1" applyFill="1" applyBorder="1" applyAlignment="1">
      <alignment vertical="center"/>
    </xf>
    <xf numFmtId="3" fontId="39" fillId="8" borderId="2" xfId="6" applyNumberFormat="1" applyFont="1" applyFill="1" applyBorder="1" applyAlignment="1" applyProtection="1">
      <alignment horizontal="right" vertical="center"/>
      <protection hidden="1"/>
    </xf>
    <xf numFmtId="4" fontId="52" fillId="0" borderId="47" xfId="6" applyNumberFormat="1" applyFont="1" applyFill="1" applyBorder="1" applyAlignment="1" applyProtection="1">
      <alignment horizontal="center" vertical="center"/>
      <protection hidden="1"/>
    </xf>
    <xf numFmtId="4" fontId="4" fillId="0" borderId="47" xfId="3" applyNumberFormat="1" applyFont="1" applyFill="1" applyBorder="1" applyAlignment="1" applyProtection="1">
      <alignment horizontal="center" vertical="center"/>
      <protection hidden="1"/>
    </xf>
    <xf numFmtId="0" fontId="39" fillId="0" borderId="47" xfId="3" applyFont="1" applyFill="1" applyBorder="1" applyAlignment="1" applyProtection="1">
      <alignment horizontal="center" vertical="center"/>
      <protection hidden="1"/>
    </xf>
    <xf numFmtId="4" fontId="26" fillId="0" borderId="47" xfId="6" applyNumberFormat="1" applyFont="1" applyFill="1" applyBorder="1" applyAlignment="1" applyProtection="1">
      <alignment horizontal="center" vertical="center"/>
      <protection hidden="1"/>
    </xf>
    <xf numFmtId="0" fontId="26" fillId="0" borderId="47" xfId="3" quotePrefix="1" applyFont="1" applyFill="1" applyBorder="1" applyAlignment="1" applyProtection="1">
      <alignment horizontal="center" vertical="center"/>
      <protection hidden="1"/>
    </xf>
    <xf numFmtId="16" fontId="39" fillId="0" borderId="2" xfId="3" quotePrefix="1" applyNumberFormat="1" applyFont="1" applyFill="1" applyBorder="1" applyAlignment="1" applyProtection="1">
      <alignment horizontal="center" vertical="center"/>
      <protection hidden="1"/>
    </xf>
    <xf numFmtId="4" fontId="26" fillId="0" borderId="47" xfId="6" applyNumberFormat="1" applyFont="1" applyFill="1" applyBorder="1" applyAlignment="1" applyProtection="1">
      <alignment horizontal="left" vertical="center"/>
      <protection hidden="1"/>
    </xf>
    <xf numFmtId="16" fontId="4" fillId="0" borderId="2" xfId="3" quotePrefix="1" applyNumberFormat="1" applyFont="1" applyFill="1" applyBorder="1" applyAlignment="1" applyProtection="1">
      <alignment horizontal="center" vertical="center"/>
      <protection hidden="1"/>
    </xf>
    <xf numFmtId="0" fontId="4" fillId="0" borderId="2" xfId="3" quotePrefix="1" applyFont="1" applyFill="1" applyBorder="1" applyAlignment="1" applyProtection="1">
      <alignment horizontal="center" vertical="center"/>
      <protection hidden="1"/>
    </xf>
    <xf numFmtId="49" fontId="6" fillId="0" borderId="20" xfId="4" applyNumberFormat="1" applyFont="1" applyBorder="1" applyAlignment="1" applyProtection="1">
      <alignment horizontal="justify" vertical="center" wrapText="1"/>
      <protection locked="0"/>
    </xf>
    <xf numFmtId="49" fontId="48" fillId="0" borderId="20" xfId="4" applyNumberFormat="1" applyFont="1" applyBorder="1" applyAlignment="1" applyProtection="1">
      <alignment horizontal="justify" vertical="center" wrapText="1"/>
      <protection locked="0"/>
    </xf>
    <xf numFmtId="49" fontId="6" fillId="0" borderId="20" xfId="4" quotePrefix="1" applyNumberFormat="1" applyFont="1" applyBorder="1" applyAlignment="1" applyProtection="1">
      <alignment horizontal="justify" vertical="center" wrapText="1"/>
      <protection locked="0"/>
    </xf>
    <xf numFmtId="49" fontId="6" fillId="0" borderId="0" xfId="4" applyNumberFormat="1" applyFont="1" applyBorder="1" applyAlignment="1" applyProtection="1">
      <alignment horizontal="justify" vertical="center" wrapText="1"/>
      <protection locked="0"/>
    </xf>
    <xf numFmtId="0" fontId="39" fillId="0" borderId="2" xfId="3" applyFont="1" applyFill="1" applyBorder="1" applyAlignment="1" applyProtection="1">
      <alignment horizontal="center" vertical="center"/>
      <protection hidden="1"/>
    </xf>
    <xf numFmtId="169" fontId="17" fillId="0" borderId="0" xfId="4" applyNumberFormat="1" applyFont="1" applyAlignment="1">
      <alignment vertical="center"/>
    </xf>
    <xf numFmtId="0" fontId="6" fillId="0" borderId="48" xfId="4" applyFont="1" applyBorder="1" applyAlignment="1">
      <alignment horizontal="center" vertical="center" wrapText="1"/>
    </xf>
    <xf numFmtId="0" fontId="136" fillId="0" borderId="3" xfId="4" applyFont="1" applyBorder="1" applyAlignment="1">
      <alignment horizontal="center" vertical="center" wrapText="1"/>
    </xf>
    <xf numFmtId="0" fontId="15" fillId="0" borderId="3" xfId="5" applyFont="1" applyBorder="1"/>
    <xf numFmtId="0" fontId="17" fillId="3" borderId="47" xfId="4" applyNumberFormat="1" applyFont="1" applyFill="1" applyBorder="1" applyAlignment="1">
      <alignment vertical="center"/>
    </xf>
    <xf numFmtId="0" fontId="17" fillId="3" borderId="48" xfId="4" applyNumberFormat="1" applyFont="1" applyFill="1" applyBorder="1" applyAlignment="1">
      <alignment vertical="center"/>
    </xf>
    <xf numFmtId="3" fontId="6" fillId="0" borderId="47" xfId="5" applyNumberFormat="1" applyFont="1" applyBorder="1"/>
    <xf numFmtId="3" fontId="6" fillId="0" borderId="48" xfId="1" applyNumberFormat="1" applyFont="1" applyFill="1" applyBorder="1" applyAlignment="1">
      <alignment horizontal="right" vertical="center"/>
    </xf>
    <xf numFmtId="0" fontId="136" fillId="0" borderId="3" xfId="4" applyFont="1" applyFill="1" applyBorder="1" applyAlignment="1">
      <alignment horizontal="center" vertical="center"/>
    </xf>
    <xf numFmtId="184" fontId="39" fillId="0" borderId="0" xfId="5" applyNumberFormat="1" applyFont="1" applyBorder="1" applyAlignment="1">
      <alignment horizontal="left" vertical="center"/>
    </xf>
    <xf numFmtId="4" fontId="39" fillId="0" borderId="0" xfId="6" applyNumberFormat="1" applyFont="1" applyFill="1" applyBorder="1" applyAlignment="1" applyProtection="1">
      <alignment horizontal="left" vertical="center"/>
      <protection hidden="1"/>
    </xf>
    <xf numFmtId="4" fontId="107" fillId="0" borderId="0" xfId="6" applyNumberFormat="1" applyFont="1" applyFill="1" applyBorder="1" applyAlignment="1" applyProtection="1">
      <alignment horizontal="center" vertical="center"/>
      <protection hidden="1"/>
    </xf>
    <xf numFmtId="4" fontId="107" fillId="0" borderId="49" xfId="6" applyNumberFormat="1" applyFont="1" applyFill="1" applyBorder="1" applyAlignment="1" applyProtection="1">
      <alignment horizontal="center" vertical="center"/>
      <protection hidden="1"/>
    </xf>
    <xf numFmtId="4" fontId="17" fillId="0" borderId="49" xfId="6" applyNumberFormat="1" applyFont="1" applyFill="1" applyBorder="1" applyAlignment="1" applyProtection="1">
      <alignment horizontal="left" vertical="center"/>
      <protection hidden="1"/>
    </xf>
    <xf numFmtId="165" fontId="39" fillId="0" borderId="49" xfId="6" applyNumberFormat="1" applyFont="1" applyFill="1" applyBorder="1" applyAlignment="1" applyProtection="1">
      <alignment horizontal="centerContinuous" vertical="center"/>
      <protection hidden="1"/>
    </xf>
    <xf numFmtId="3" fontId="17" fillId="0" borderId="49" xfId="6" applyNumberFormat="1" applyFont="1" applyFill="1" applyBorder="1" applyAlignment="1" applyProtection="1">
      <alignment horizontal="right" vertical="center"/>
      <protection hidden="1"/>
    </xf>
    <xf numFmtId="3" fontId="17" fillId="0" borderId="49" xfId="6" applyNumberFormat="1" applyFont="1" applyFill="1" applyBorder="1" applyAlignment="1" applyProtection="1">
      <alignment vertical="center"/>
      <protection hidden="1"/>
    </xf>
    <xf numFmtId="0" fontId="2" fillId="9" borderId="1" xfId="4" applyFont="1" applyFill="1" applyBorder="1" applyAlignment="1">
      <alignment horizontal="center" vertical="center"/>
    </xf>
    <xf numFmtId="0" fontId="2" fillId="9" borderId="13" xfId="4" applyFont="1" applyFill="1" applyBorder="1" applyAlignment="1">
      <alignment horizontal="center" vertical="center"/>
    </xf>
    <xf numFmtId="0" fontId="26" fillId="0" borderId="47" xfId="0" applyFont="1" applyBorder="1" applyAlignment="1">
      <alignment vertical="center"/>
    </xf>
    <xf numFmtId="0" fontId="26" fillId="0" borderId="48" xfId="0" applyFont="1" applyBorder="1" applyAlignment="1">
      <alignment vertical="center"/>
    </xf>
    <xf numFmtId="0" fontId="14" fillId="9" borderId="13" xfId="4" applyFont="1" applyFill="1" applyBorder="1" applyAlignment="1">
      <alignment horizontal="centerContinuous" vertical="center"/>
    </xf>
    <xf numFmtId="0" fontId="6" fillId="0" borderId="47" xfId="4" applyFont="1" applyBorder="1" applyAlignment="1">
      <alignment horizontal="center" vertical="center" wrapText="1"/>
    </xf>
    <xf numFmtId="184" fontId="6" fillId="0" borderId="47" xfId="4" applyNumberFormat="1" applyFont="1" applyBorder="1" applyAlignment="1">
      <alignment vertical="center" wrapText="1"/>
    </xf>
    <xf numFmtId="184" fontId="6" fillId="0" borderId="0" xfId="4" applyNumberFormat="1" applyFont="1" applyBorder="1" applyAlignment="1" applyProtection="1">
      <alignment vertical="center"/>
      <protection locked="0"/>
    </xf>
    <xf numFmtId="0" fontId="6" fillId="0" borderId="0" xfId="4" applyFont="1" applyBorder="1" applyAlignment="1" applyProtection="1">
      <alignment vertical="center"/>
      <protection locked="0"/>
    </xf>
    <xf numFmtId="0" fontId="6" fillId="0" borderId="0" xfId="4" applyFont="1" applyBorder="1" applyAlignment="1">
      <alignment horizontal="center" vertical="center"/>
    </xf>
    <xf numFmtId="0" fontId="6" fillId="0" borderId="0" xfId="4" applyFont="1" applyBorder="1" applyAlignment="1">
      <alignment vertical="center"/>
    </xf>
    <xf numFmtId="49" fontId="6" fillId="0" borderId="0" xfId="4" applyNumberFormat="1" applyFont="1" applyBorder="1" applyAlignment="1">
      <alignment horizontal="center" vertical="center" wrapText="1"/>
    </xf>
    <xf numFmtId="0" fontId="125" fillId="0" borderId="0" xfId="4" applyFont="1" applyBorder="1" applyAlignment="1">
      <alignment horizontal="center" vertical="center" wrapText="1"/>
    </xf>
    <xf numFmtId="0" fontId="6" fillId="0" borderId="0" xfId="4" applyFont="1" applyBorder="1" applyAlignment="1">
      <alignment horizontal="justify" vertical="center" wrapText="1"/>
    </xf>
    <xf numFmtId="0" fontId="6" fillId="0" borderId="0" xfId="4" applyFont="1" applyBorder="1" applyAlignment="1">
      <alignment horizontal="center" vertical="center" wrapText="1"/>
    </xf>
    <xf numFmtId="182" fontId="6" fillId="0" borderId="0" xfId="4" applyNumberFormat="1" applyFont="1" applyBorder="1" applyAlignment="1">
      <alignment vertical="center"/>
    </xf>
    <xf numFmtId="184" fontId="6" fillId="0" borderId="0" xfId="4" applyNumberFormat="1" applyFont="1" applyBorder="1" applyAlignment="1">
      <alignment vertical="center"/>
    </xf>
    <xf numFmtId="4" fontId="6" fillId="0" borderId="0" xfId="4" applyNumberFormat="1" applyFont="1" applyBorder="1" applyAlignment="1">
      <alignment vertical="center"/>
    </xf>
    <xf numFmtId="0" fontId="105" fillId="0" borderId="0" xfId="4" applyFont="1" applyFill="1" applyBorder="1" applyAlignment="1">
      <alignment horizontal="center" vertical="center"/>
    </xf>
    <xf numFmtId="0" fontId="105" fillId="0" borderId="0" xfId="4" applyFont="1" applyFill="1" applyBorder="1" applyAlignment="1">
      <alignment vertical="center" wrapText="1"/>
    </xf>
    <xf numFmtId="0" fontId="105" fillId="0" borderId="0" xfId="4" applyFont="1" applyFill="1" applyBorder="1" applyAlignment="1">
      <alignment horizontal="center" vertical="center" wrapText="1"/>
    </xf>
    <xf numFmtId="4" fontId="105" fillId="0" borderId="0" xfId="4" applyNumberFormat="1" applyFont="1" applyFill="1" applyBorder="1" applyAlignment="1">
      <alignment horizontal="right" vertical="center" wrapText="1"/>
    </xf>
    <xf numFmtId="164" fontId="105" fillId="0" borderId="0" xfId="4" applyNumberFormat="1" applyFont="1" applyFill="1" applyBorder="1" applyAlignment="1">
      <alignment vertical="center"/>
    </xf>
    <xf numFmtId="0" fontId="105" fillId="0" borderId="0" xfId="4" applyNumberFormat="1" applyFont="1" applyFill="1" applyBorder="1" applyAlignment="1">
      <alignment horizontal="center" vertical="center"/>
    </xf>
    <xf numFmtId="184" fontId="105" fillId="0" borderId="0" xfId="4" applyNumberFormat="1" applyFont="1" applyFill="1" applyBorder="1" applyAlignment="1">
      <alignment vertical="center"/>
    </xf>
    <xf numFmtId="3" fontId="105" fillId="0" borderId="0" xfId="4" applyNumberFormat="1" applyFont="1" applyFill="1" applyBorder="1" applyAlignment="1">
      <alignment vertical="center"/>
    </xf>
    <xf numFmtId="0" fontId="105" fillId="0" borderId="0" xfId="4" applyNumberFormat="1" applyFont="1" applyFill="1" applyBorder="1" applyAlignment="1">
      <alignment vertical="center"/>
    </xf>
    <xf numFmtId="0" fontId="105" fillId="0" borderId="0" xfId="4" applyFont="1" applyFill="1" applyBorder="1" applyAlignment="1">
      <alignment vertical="center"/>
    </xf>
    <xf numFmtId="3" fontId="105" fillId="0" borderId="0" xfId="4" applyNumberFormat="1" applyFont="1" applyBorder="1" applyAlignment="1">
      <alignment vertical="center"/>
    </xf>
    <xf numFmtId="0" fontId="105" fillId="0" borderId="0" xfId="4" applyFont="1" applyBorder="1" applyAlignment="1">
      <alignment vertical="center"/>
    </xf>
    <xf numFmtId="164" fontId="6" fillId="0" borderId="0" xfId="4" applyNumberFormat="1" applyFont="1" applyBorder="1" applyAlignment="1">
      <alignment vertical="center"/>
    </xf>
    <xf numFmtId="0" fontId="104" fillId="0" borderId="0" xfId="0" applyFont="1" applyBorder="1" applyAlignment="1">
      <alignment horizontal="center" vertical="center"/>
    </xf>
    <xf numFmtId="0" fontId="104" fillId="0" borderId="0" xfId="0" applyFont="1" applyBorder="1" applyAlignment="1">
      <alignment horizontal="justify" vertical="center" wrapText="1"/>
    </xf>
    <xf numFmtId="0" fontId="104" fillId="0" borderId="0" xfId="0" applyFont="1" applyBorder="1" applyAlignment="1">
      <alignment vertical="center"/>
    </xf>
    <xf numFmtId="3" fontId="104" fillId="0" borderId="0" xfId="0" applyNumberFormat="1" applyFont="1" applyBorder="1" applyAlignment="1">
      <alignment vertical="center"/>
    </xf>
    <xf numFmtId="0" fontId="6" fillId="0" borderId="0" xfId="4" quotePrefix="1" applyFont="1" applyAlignment="1">
      <alignment vertical="center"/>
    </xf>
    <xf numFmtId="0" fontId="38" fillId="0" borderId="0" xfId="4" quotePrefix="1" applyFont="1" applyAlignment="1">
      <alignment vertical="center"/>
    </xf>
    <xf numFmtId="184" fontId="6" fillId="0" borderId="52" xfId="4" applyNumberFormat="1" applyFont="1" applyBorder="1" applyAlignment="1">
      <alignment vertical="center" wrapText="1"/>
    </xf>
    <xf numFmtId="0" fontId="141" fillId="0" borderId="53" xfId="0" applyFont="1" applyBorder="1" applyAlignment="1">
      <alignment horizontal="center" vertical="center"/>
    </xf>
    <xf numFmtId="189" fontId="0" fillId="0" borderId="48" xfId="1" applyNumberFormat="1" applyFont="1" applyBorder="1" applyAlignment="1">
      <alignment horizontal="center" vertical="center"/>
    </xf>
    <xf numFmtId="0" fontId="6" fillId="0" borderId="0" xfId="4" applyFont="1" applyAlignment="1">
      <alignment horizontal="justify" vertical="center" wrapText="1"/>
    </xf>
    <xf numFmtId="0" fontId="6" fillId="0" borderId="13" xfId="0" applyFont="1" applyFill="1" applyBorder="1" applyAlignment="1" applyProtection="1">
      <alignment horizontal="center"/>
      <protection hidden="1"/>
    </xf>
    <xf numFmtId="3" fontId="6" fillId="0" borderId="13" xfId="0" applyNumberFormat="1" applyFont="1" applyFill="1" applyBorder="1" applyProtection="1">
      <protection hidden="1"/>
    </xf>
    <xf numFmtId="0" fontId="6" fillId="0" borderId="52" xfId="0" applyFont="1" applyBorder="1" applyAlignment="1">
      <alignment horizontal="justify" vertical="center" wrapText="1"/>
    </xf>
    <xf numFmtId="176" fontId="6" fillId="10" borderId="52" xfId="8" applyNumberFormat="1" applyFont="1" applyFill="1" applyBorder="1" applyAlignment="1">
      <alignment vertical="center" wrapText="1"/>
    </xf>
    <xf numFmtId="0" fontId="6" fillId="0" borderId="52" xfId="0" applyFont="1" applyBorder="1" applyAlignment="1">
      <alignment horizontal="center" vertical="center"/>
    </xf>
    <xf numFmtId="3" fontId="6" fillId="0" borderId="52" xfId="0" applyNumberFormat="1" applyFont="1" applyBorder="1" applyAlignment="1">
      <alignment vertical="center"/>
    </xf>
    <xf numFmtId="176" fontId="6" fillId="0" borderId="52" xfId="8" applyNumberFormat="1" applyFont="1" applyBorder="1" applyAlignment="1">
      <alignment vertical="center" wrapText="1"/>
    </xf>
    <xf numFmtId="176" fontId="6" fillId="0" borderId="52" xfId="8" applyNumberFormat="1" applyFont="1" applyBorder="1" applyAlignment="1">
      <alignment horizontal="center" vertical="center" wrapText="1"/>
    </xf>
    <xf numFmtId="0" fontId="6" fillId="0" borderId="52" xfId="0" applyFont="1" applyFill="1" applyBorder="1" applyAlignment="1">
      <alignment horizontal="justify" vertical="center" wrapText="1"/>
    </xf>
    <xf numFmtId="184" fontId="65" fillId="9" borderId="1" xfId="4" applyNumberFormat="1" applyFont="1" applyFill="1" applyBorder="1" applyAlignment="1">
      <alignment horizontal="centerContinuous" vertical="center"/>
    </xf>
    <xf numFmtId="184" fontId="65" fillId="9" borderId="14" xfId="4" applyNumberFormat="1" applyFont="1" applyFill="1" applyBorder="1" applyAlignment="1">
      <alignment horizontal="centerContinuous" vertical="center"/>
    </xf>
    <xf numFmtId="184" fontId="65" fillId="9" borderId="15" xfId="4" applyNumberFormat="1" applyFont="1" applyFill="1" applyBorder="1" applyAlignment="1">
      <alignment horizontal="centerContinuous" vertical="center"/>
    </xf>
    <xf numFmtId="184" fontId="64" fillId="9" borderId="13" xfId="4" applyNumberFormat="1" applyFont="1" applyFill="1" applyBorder="1" applyAlignment="1">
      <alignment horizontal="center" vertical="center" wrapText="1"/>
    </xf>
    <xf numFmtId="184" fontId="46" fillId="9" borderId="13" xfId="5" applyNumberFormat="1" applyFont="1" applyFill="1" applyBorder="1" applyAlignment="1">
      <alignment horizontal="center" vertical="center" wrapText="1"/>
    </xf>
    <xf numFmtId="0" fontId="65" fillId="9" borderId="1" xfId="5" applyFont="1" applyFill="1" applyBorder="1" applyAlignment="1">
      <alignment horizontal="centerContinuous" vertical="center"/>
    </xf>
    <xf numFmtId="0" fontId="71" fillId="9" borderId="14" xfId="5" applyFont="1" applyFill="1" applyBorder="1" applyAlignment="1">
      <alignment horizontal="centerContinuous" vertical="center"/>
    </xf>
    <xf numFmtId="0" fontId="71" fillId="9" borderId="15" xfId="5" applyFont="1" applyFill="1" applyBorder="1" applyAlignment="1">
      <alignment horizontal="centerContinuous" vertical="center"/>
    </xf>
    <xf numFmtId="186" fontId="46" fillId="9" borderId="13" xfId="5" applyNumberFormat="1" applyFont="1" applyFill="1" applyBorder="1" applyAlignment="1">
      <alignment horizontal="center" vertical="center"/>
    </xf>
    <xf numFmtId="2" fontId="46" fillId="9" borderId="13" xfId="3" applyNumberFormat="1" applyFont="1" applyFill="1" applyBorder="1" applyAlignment="1" applyProtection="1">
      <alignment horizontal="center" vertical="center" wrapText="1"/>
      <protection locked="0"/>
    </xf>
    <xf numFmtId="0" fontId="46" fillId="11" borderId="13" xfId="4" applyFont="1" applyFill="1" applyBorder="1" applyAlignment="1">
      <alignment horizontal="center" vertical="center"/>
    </xf>
    <xf numFmtId="0" fontId="86" fillId="11" borderId="13" xfId="4" applyFont="1" applyFill="1" applyBorder="1" applyAlignment="1" applyProtection="1">
      <alignment horizontal="center" vertical="center"/>
      <protection locked="0"/>
    </xf>
    <xf numFmtId="49" fontId="6" fillId="11" borderId="13" xfId="4" applyNumberFormat="1" applyFont="1" applyFill="1" applyBorder="1" applyAlignment="1" applyProtection="1">
      <alignment horizontal="center" vertical="center" wrapText="1"/>
      <protection locked="0"/>
    </xf>
    <xf numFmtId="49" fontId="46" fillId="11" borderId="13" xfId="4" applyNumberFormat="1" applyFont="1" applyFill="1" applyBorder="1" applyAlignment="1" applyProtection="1">
      <alignment horizontal="center" vertical="center" wrapText="1"/>
    </xf>
    <xf numFmtId="184" fontId="61" fillId="11" borderId="13" xfId="5" applyNumberFormat="1" applyFont="1" applyFill="1" applyBorder="1" applyAlignment="1">
      <alignment horizontal="center" vertical="center" wrapText="1"/>
    </xf>
    <xf numFmtId="0" fontId="46" fillId="11" borderId="13" xfId="4" applyFont="1" applyFill="1" applyBorder="1" applyAlignment="1">
      <alignment horizontal="center" vertical="center" wrapText="1"/>
    </xf>
    <xf numFmtId="184" fontId="46" fillId="11" borderId="13" xfId="4" applyNumberFormat="1" applyFont="1" applyFill="1" applyBorder="1" applyAlignment="1">
      <alignment horizontal="center" vertical="center" wrapText="1"/>
    </xf>
    <xf numFmtId="0" fontId="2" fillId="11" borderId="17" xfId="0" applyFont="1" applyFill="1" applyBorder="1" applyAlignment="1">
      <alignment horizontal="centerContinuous" vertical="center" wrapText="1"/>
    </xf>
    <xf numFmtId="0" fontId="17" fillId="11" borderId="17" xfId="0" applyFont="1" applyFill="1" applyBorder="1" applyAlignment="1">
      <alignment horizontal="center" vertical="center"/>
    </xf>
    <xf numFmtId="3" fontId="17" fillId="11" borderId="17" xfId="0" applyNumberFormat="1" applyFont="1" applyFill="1" applyBorder="1" applyAlignment="1">
      <alignment vertical="center"/>
    </xf>
    <xf numFmtId="3" fontId="17" fillId="11" borderId="17" xfId="0" applyNumberFormat="1" applyFont="1" applyFill="1" applyBorder="1" applyAlignment="1">
      <alignment horizontal="center" vertical="center"/>
    </xf>
    <xf numFmtId="3" fontId="46" fillId="11" borderId="13" xfId="4" applyNumberFormat="1" applyFont="1" applyFill="1" applyBorder="1" applyAlignment="1">
      <alignment horizontal="center" vertical="center" wrapText="1"/>
    </xf>
    <xf numFmtId="0" fontId="61" fillId="11" borderId="13" xfId="0" applyFont="1" applyFill="1" applyBorder="1" applyAlignment="1">
      <alignment horizontal="center" vertical="center" wrapText="1"/>
    </xf>
    <xf numFmtId="0" fontId="61" fillId="11" borderId="13" xfId="4" applyFont="1" applyFill="1" applyBorder="1" applyAlignment="1">
      <alignment horizontal="center" vertical="center"/>
    </xf>
    <xf numFmtId="0" fontId="61" fillId="11" borderId="13" xfId="4" applyFont="1" applyFill="1" applyBorder="1" applyAlignment="1">
      <alignment horizontal="center" vertical="center" wrapText="1"/>
    </xf>
    <xf numFmtId="0" fontId="2" fillId="11" borderId="13" xfId="0" applyFont="1" applyFill="1" applyBorder="1" applyAlignment="1">
      <alignment horizontal="center" vertical="center" wrapText="1"/>
    </xf>
    <xf numFmtId="0" fontId="17" fillId="11" borderId="13" xfId="0" applyFont="1" applyFill="1" applyBorder="1" applyAlignment="1">
      <alignment horizontal="center" vertical="center"/>
    </xf>
    <xf numFmtId="3" fontId="17" fillId="11" borderId="13" xfId="1" applyNumberFormat="1" applyFont="1" applyFill="1" applyBorder="1" applyAlignment="1">
      <alignment horizontal="right" vertical="center"/>
    </xf>
    <xf numFmtId="0" fontId="136" fillId="0" borderId="3" xfId="4" applyFont="1" applyFill="1" applyBorder="1" applyAlignment="1">
      <alignment horizontal="left" vertical="center"/>
    </xf>
    <xf numFmtId="4" fontId="107" fillId="0" borderId="0" xfId="6" applyNumberFormat="1" applyFont="1" applyFill="1" applyAlignment="1" applyProtection="1">
      <alignment horizontal="left" vertical="center"/>
      <protection hidden="1"/>
    </xf>
    <xf numFmtId="0" fontId="104" fillId="0" borderId="0" xfId="0" applyFont="1" applyAlignment="1">
      <alignment horizontal="left"/>
    </xf>
    <xf numFmtId="0" fontId="6" fillId="0" borderId="52" xfId="0" applyFont="1" applyFill="1" applyBorder="1" applyAlignment="1" applyProtection="1">
      <alignment horizontal="left"/>
      <protection hidden="1"/>
    </xf>
    <xf numFmtId="49" fontId="6" fillId="0" borderId="15" xfId="0" applyNumberFormat="1" applyFont="1" applyBorder="1" applyAlignment="1">
      <alignment horizontal="centerContinuous" vertical="center"/>
    </xf>
    <xf numFmtId="0" fontId="6" fillId="0" borderId="52" xfId="4" applyFont="1" applyBorder="1" applyAlignment="1">
      <alignment horizontal="center" vertical="center" wrapText="1"/>
    </xf>
    <xf numFmtId="0" fontId="6" fillId="9" borderId="52" xfId="4" applyFont="1" applyFill="1" applyBorder="1" applyAlignment="1">
      <alignment horizontal="center" vertical="center" wrapText="1"/>
    </xf>
    <xf numFmtId="0" fontId="6" fillId="9" borderId="2" xfId="4" applyFont="1" applyFill="1" applyBorder="1" applyAlignment="1">
      <alignment horizontal="center" vertical="center" wrapText="1"/>
    </xf>
    <xf numFmtId="184" fontId="61" fillId="9" borderId="13" xfId="5" applyNumberFormat="1" applyFont="1" applyFill="1" applyBorder="1" applyAlignment="1">
      <alignment horizontal="center" vertical="center" wrapText="1"/>
    </xf>
    <xf numFmtId="0" fontId="139" fillId="0" borderId="13" xfId="4" applyFont="1" applyBorder="1" applyAlignment="1" applyProtection="1">
      <alignment horizontal="center" vertical="center"/>
      <protection locked="0"/>
    </xf>
    <xf numFmtId="49" fontId="139" fillId="0" borderId="13" xfId="4" applyNumberFormat="1" applyFont="1" applyBorder="1" applyAlignment="1" applyProtection="1">
      <alignment horizontal="center" vertical="center" wrapText="1"/>
      <protection locked="0"/>
    </xf>
    <xf numFmtId="0" fontId="139" fillId="0" borderId="13" xfId="4" applyFont="1" applyBorder="1" applyAlignment="1" applyProtection="1">
      <alignment horizontal="center" vertical="center" wrapText="1"/>
      <protection locked="0"/>
    </xf>
    <xf numFmtId="164" fontId="139" fillId="0" borderId="13" xfId="4" applyNumberFormat="1" applyFont="1" applyBorder="1" applyAlignment="1" applyProtection="1">
      <alignment horizontal="center" vertical="center"/>
      <protection locked="0"/>
    </xf>
    <xf numFmtId="184" fontId="139" fillId="0" borderId="13" xfId="4" applyNumberFormat="1" applyFont="1" applyBorder="1" applyAlignment="1" applyProtection="1">
      <alignment horizontal="center" vertical="center"/>
      <protection locked="0"/>
    </xf>
    <xf numFmtId="0" fontId="6" fillId="0" borderId="0" xfId="0" applyFont="1"/>
    <xf numFmtId="49" fontId="139" fillId="0" borderId="1" xfId="4" applyNumberFormat="1" applyFont="1" applyBorder="1" applyAlignment="1" applyProtection="1">
      <alignment horizontal="centerContinuous" vertical="center"/>
      <protection locked="0"/>
    </xf>
    <xf numFmtId="0" fontId="39" fillId="0" borderId="0" xfId="4" applyFont="1" applyAlignment="1">
      <alignment vertical="center"/>
    </xf>
    <xf numFmtId="0" fontId="61" fillId="11" borderId="21" xfId="4" applyFont="1" applyFill="1" applyBorder="1" applyAlignment="1" applyProtection="1">
      <alignment horizontal="centerContinuous" vertical="center"/>
      <protection locked="0"/>
    </xf>
    <xf numFmtId="49" fontId="6" fillId="0" borderId="0" xfId="4" applyNumberFormat="1" applyFont="1" applyFill="1"/>
    <xf numFmtId="0" fontId="146" fillId="0" borderId="20" xfId="4" applyFont="1" applyBorder="1" applyAlignment="1" applyProtection="1">
      <alignment horizontal="center" vertical="center"/>
      <protection locked="0"/>
    </xf>
    <xf numFmtId="0" fontId="6" fillId="0" borderId="0" xfId="4" applyFont="1" applyAlignment="1">
      <alignment horizontal="justify" vertical="center" wrapText="1"/>
    </xf>
    <xf numFmtId="0" fontId="46" fillId="6" borderId="13" xfId="4" applyNumberFormat="1" applyFont="1" applyFill="1" applyBorder="1" applyAlignment="1" applyProtection="1">
      <alignment horizontal="center" vertical="center" wrapText="1"/>
    </xf>
    <xf numFmtId="0" fontId="10" fillId="0" borderId="20" xfId="0" applyNumberFormat="1" applyFont="1" applyBorder="1" applyAlignment="1">
      <alignment horizontal="justify" vertical="center"/>
    </xf>
    <xf numFmtId="0" fontId="102" fillId="0" borderId="20" xfId="0" applyNumberFormat="1" applyFont="1" applyBorder="1" applyAlignment="1">
      <alignment horizontal="center" vertical="center"/>
    </xf>
    <xf numFmtId="0" fontId="103" fillId="0" borderId="20" xfId="0" applyFont="1" applyBorder="1" applyAlignment="1">
      <alignment horizontal="justify" vertical="center"/>
    </xf>
    <xf numFmtId="184" fontId="17" fillId="11" borderId="13" xfId="4" applyNumberFormat="1" applyFont="1" applyFill="1" applyBorder="1" applyAlignment="1" applyProtection="1">
      <alignment horizontal="center" vertical="center"/>
      <protection locked="0"/>
    </xf>
    <xf numFmtId="0" fontId="22" fillId="0" borderId="0" xfId="4" applyFont="1" applyAlignment="1">
      <alignment vertical="center"/>
    </xf>
    <xf numFmtId="49" fontId="48" fillId="0" borderId="20" xfId="4" applyNumberFormat="1" applyFont="1" applyFill="1" applyBorder="1" applyAlignment="1" applyProtection="1">
      <alignment horizontal="center" vertical="center" wrapText="1"/>
      <protection locked="0"/>
    </xf>
    <xf numFmtId="0" fontId="61" fillId="12" borderId="21" xfId="4" applyFont="1" applyFill="1" applyBorder="1" applyAlignment="1" applyProtection="1">
      <alignment horizontal="centerContinuous" vertical="center"/>
      <protection locked="0"/>
    </xf>
    <xf numFmtId="0" fontId="86" fillId="12" borderId="13" xfId="4" applyFont="1" applyFill="1" applyBorder="1" applyAlignment="1" applyProtection="1">
      <alignment horizontal="center" vertical="center"/>
      <protection locked="0"/>
    </xf>
    <xf numFmtId="3" fontId="102" fillId="0" borderId="21" xfId="0" applyNumberFormat="1" applyFont="1" applyBorder="1" applyAlignment="1">
      <alignment horizontal="right" vertical="center"/>
    </xf>
    <xf numFmtId="3" fontId="10" fillId="0" borderId="20" xfId="0" applyNumberFormat="1" applyFont="1" applyBorder="1" applyAlignment="1">
      <alignment horizontal="right" vertical="center"/>
    </xf>
    <xf numFmtId="3" fontId="102" fillId="0" borderId="20" xfId="0" applyNumberFormat="1" applyFont="1" applyBorder="1" applyAlignment="1">
      <alignment horizontal="right" vertical="center"/>
    </xf>
    <xf numFmtId="3" fontId="103" fillId="0" borderId="20" xfId="0" applyNumberFormat="1" applyFont="1" applyBorder="1" applyAlignment="1">
      <alignment horizontal="right" vertical="center"/>
    </xf>
    <xf numFmtId="3" fontId="39" fillId="0" borderId="20" xfId="4" applyNumberFormat="1" applyFont="1" applyBorder="1" applyAlignment="1">
      <alignment horizontal="right" vertical="center"/>
    </xf>
    <xf numFmtId="3" fontId="102" fillId="0" borderId="20" xfId="0" applyNumberFormat="1" applyFont="1" applyBorder="1" applyAlignment="1">
      <alignment horizontal="right" vertical="center" wrapText="1"/>
    </xf>
    <xf numFmtId="3" fontId="100" fillId="6" borderId="13" xfId="4" applyNumberFormat="1" applyFont="1" applyFill="1" applyBorder="1" applyAlignment="1" applyProtection="1">
      <alignment horizontal="right" vertical="center" wrapText="1"/>
    </xf>
    <xf numFmtId="184" fontId="17" fillId="11" borderId="13" xfId="4" applyNumberFormat="1" applyFont="1" applyFill="1" applyBorder="1" applyAlignment="1" applyProtection="1">
      <alignment horizontal="right" vertical="center"/>
      <protection locked="0"/>
    </xf>
    <xf numFmtId="0" fontId="59" fillId="0" borderId="0" xfId="4" applyFont="1" applyAlignment="1">
      <alignment vertical="center"/>
    </xf>
    <xf numFmtId="0" fontId="149" fillId="0" borderId="0" xfId="0" applyFont="1" applyAlignment="1">
      <alignment horizontal="centerContinuous" vertical="center"/>
    </xf>
    <xf numFmtId="0" fontId="149" fillId="0" borderId="11" xfId="0" applyFont="1" applyBorder="1" applyAlignment="1">
      <alignment horizontal="centerContinuous" vertical="center"/>
    </xf>
    <xf numFmtId="0" fontId="149" fillId="0" borderId="0" xfId="0" applyFont="1" applyAlignment="1">
      <alignment vertical="center"/>
    </xf>
    <xf numFmtId="0" fontId="149" fillId="0" borderId="0" xfId="0" applyFont="1"/>
    <xf numFmtId="0" fontId="150" fillId="0" borderId="0" xfId="0" applyFont="1" applyAlignment="1">
      <alignment horizontal="centerContinuous" vertical="center"/>
    </xf>
    <xf numFmtId="0" fontId="151" fillId="0" borderId="11" xfId="0" applyFont="1" applyBorder="1" applyAlignment="1">
      <alignment horizontal="centerContinuous" vertical="center"/>
    </xf>
    <xf numFmtId="0" fontId="152" fillId="0" borderId="0" xfId="0" applyFont="1" applyAlignment="1">
      <alignment horizontal="centerContinuous" vertical="center"/>
    </xf>
    <xf numFmtId="0" fontId="17" fillId="0" borderId="3" xfId="0" applyFont="1" applyBorder="1" applyAlignment="1">
      <alignment horizontal="center" vertical="center"/>
    </xf>
    <xf numFmtId="0" fontId="17" fillId="0" borderId="3" xfId="0" applyFont="1" applyBorder="1" applyAlignment="1">
      <alignment horizontal="justify" vertical="center" wrapText="1"/>
    </xf>
    <xf numFmtId="0" fontId="17" fillId="0" borderId="52" xfId="0" applyFont="1" applyBorder="1" applyAlignment="1">
      <alignment horizontal="center" vertical="center"/>
    </xf>
    <xf numFmtId="0" fontId="17" fillId="0" borderId="52" xfId="0" applyFont="1" applyBorder="1" applyAlignment="1">
      <alignment horizontal="justify" vertical="center" wrapText="1"/>
    </xf>
    <xf numFmtId="3" fontId="149" fillId="0" borderId="3" xfId="1" applyNumberFormat="1" applyFont="1" applyBorder="1" applyAlignment="1">
      <alignment vertical="center"/>
    </xf>
    <xf numFmtId="3" fontId="149" fillId="0" borderId="52" xfId="1" applyNumberFormat="1" applyFont="1" applyBorder="1" applyAlignment="1">
      <alignment vertical="center"/>
    </xf>
    <xf numFmtId="0" fontId="153" fillId="0" borderId="0" xfId="4" applyFont="1" applyAlignment="1" applyProtection="1">
      <alignment horizontal="centerContinuous" vertical="center"/>
      <protection locked="0"/>
    </xf>
    <xf numFmtId="0" fontId="155" fillId="0" borderId="0" xfId="3" applyFont="1" applyFill="1" applyBorder="1" applyAlignment="1" applyProtection="1">
      <alignment horizontal="centerContinuous" vertical="center" wrapText="1"/>
      <protection locked="0"/>
    </xf>
    <xf numFmtId="181" fontId="0" fillId="0" borderId="0" xfId="0" applyNumberFormat="1"/>
    <xf numFmtId="0" fontId="0" fillId="0" borderId="20" xfId="0" applyBorder="1" applyAlignment="1">
      <alignment horizontal="center" vertical="center"/>
    </xf>
    <xf numFmtId="0" fontId="0" fillId="0" borderId="4" xfId="0" applyBorder="1" applyAlignment="1">
      <alignment horizontal="center" vertical="center"/>
    </xf>
    <xf numFmtId="220" fontId="0" fillId="0" borderId="20" xfId="0" applyNumberFormat="1" applyBorder="1" applyAlignment="1">
      <alignment horizontal="center" vertical="center"/>
    </xf>
    <xf numFmtId="0" fontId="0" fillId="0" borderId="0" xfId="0" applyAlignment="1">
      <alignment horizontal="center"/>
    </xf>
    <xf numFmtId="0" fontId="0" fillId="7" borderId="13" xfId="0" applyFill="1" applyBorder="1" applyAlignment="1">
      <alignment horizontal="center" vertical="center"/>
    </xf>
    <xf numFmtId="181" fontId="0" fillId="7" borderId="13" xfId="0" applyNumberFormat="1" applyFill="1" applyBorder="1" applyAlignment="1">
      <alignment vertical="center"/>
    </xf>
    <xf numFmtId="0" fontId="0" fillId="0" borderId="52" xfId="0" applyBorder="1" applyAlignment="1">
      <alignment horizontal="center" vertical="center"/>
    </xf>
    <xf numFmtId="0" fontId="0" fillId="0" borderId="52" xfId="0" applyBorder="1" applyAlignment="1">
      <alignment vertical="center"/>
    </xf>
    <xf numFmtId="2" fontId="0" fillId="0" borderId="52" xfId="0" applyNumberFormat="1" applyBorder="1" applyAlignment="1">
      <alignment vertical="center"/>
    </xf>
    <xf numFmtId="1" fontId="0" fillId="0" borderId="52" xfId="0" applyNumberFormat="1" applyBorder="1" applyAlignment="1">
      <alignment vertical="center"/>
    </xf>
    <xf numFmtId="0" fontId="0" fillId="0" borderId="48" xfId="0" applyBorder="1" applyAlignment="1">
      <alignment horizontal="center" vertical="center"/>
    </xf>
    <xf numFmtId="0" fontId="0" fillId="0" borderId="48" xfId="0" applyBorder="1" applyAlignment="1">
      <alignment vertical="center"/>
    </xf>
    <xf numFmtId="2" fontId="0" fillId="0" borderId="48" xfId="0" applyNumberFormat="1" applyBorder="1" applyAlignment="1">
      <alignment vertical="center"/>
    </xf>
    <xf numFmtId="1" fontId="0" fillId="0" borderId="48" xfId="0" applyNumberFormat="1" applyBorder="1" applyAlignment="1">
      <alignment vertical="center"/>
    </xf>
    <xf numFmtId="0" fontId="191" fillId="9" borderId="13" xfId="0" applyFont="1" applyFill="1" applyBorder="1" applyAlignment="1">
      <alignment horizontal="center" vertical="center" wrapText="1"/>
    </xf>
    <xf numFmtId="0" fontId="6" fillId="0" borderId="5" xfId="4" applyFont="1" applyFill="1" applyBorder="1" applyAlignment="1">
      <alignment vertical="center"/>
    </xf>
    <xf numFmtId="0" fontId="6" fillId="0" borderId="6" xfId="4" applyFont="1" applyFill="1" applyBorder="1" applyAlignment="1">
      <alignment vertical="center"/>
    </xf>
    <xf numFmtId="0" fontId="6" fillId="0" borderId="7" xfId="4" applyFont="1" applyFill="1" applyBorder="1" applyAlignment="1">
      <alignment vertical="center"/>
    </xf>
    <xf numFmtId="0" fontId="17" fillId="0" borderId="0" xfId="4" applyFont="1" applyFill="1" applyBorder="1" applyAlignment="1">
      <alignment horizontal="centerContinuous" vertical="center"/>
    </xf>
    <xf numFmtId="0" fontId="6" fillId="0" borderId="0" xfId="4" applyFont="1" applyFill="1" applyBorder="1" applyAlignment="1">
      <alignment horizontal="centerContinuous" vertical="center"/>
    </xf>
    <xf numFmtId="0" fontId="6" fillId="0" borderId="9" xfId="4" applyFont="1" applyFill="1" applyBorder="1" applyAlignment="1">
      <alignment horizontal="centerContinuous" vertical="center"/>
    </xf>
    <xf numFmtId="0" fontId="15" fillId="0" borderId="8" xfId="4" applyFont="1" applyFill="1" applyBorder="1" applyAlignment="1">
      <alignment vertical="center"/>
    </xf>
    <xf numFmtId="0" fontId="15" fillId="0" borderId="0" xfId="4" applyFont="1" applyFill="1" applyBorder="1" applyAlignment="1">
      <alignment vertical="center"/>
    </xf>
    <xf numFmtId="0" fontId="6" fillId="0" borderId="0" xfId="4" applyFont="1" applyFill="1" applyBorder="1" applyAlignment="1">
      <alignment vertical="center"/>
    </xf>
    <xf numFmtId="0" fontId="6" fillId="0" borderId="8" xfId="4" applyFont="1" applyFill="1" applyBorder="1" applyAlignment="1">
      <alignment vertical="center"/>
    </xf>
    <xf numFmtId="0" fontId="19" fillId="0" borderId="8" xfId="4" applyFont="1" applyFill="1" applyBorder="1" applyAlignment="1">
      <alignment horizontal="centerContinuous" vertical="center"/>
    </xf>
    <xf numFmtId="0" fontId="20" fillId="0" borderId="0" xfId="4" applyFont="1" applyFill="1" applyBorder="1" applyAlignment="1">
      <alignment horizontal="centerContinuous" vertical="center"/>
    </xf>
    <xf numFmtId="0" fontId="20" fillId="0" borderId="9" xfId="4" applyFont="1" applyFill="1" applyBorder="1" applyAlignment="1">
      <alignment horizontal="centerContinuous" vertical="center"/>
    </xf>
    <xf numFmtId="0" fontId="16" fillId="0" borderId="8" xfId="4" applyFont="1" applyFill="1" applyBorder="1" applyAlignment="1">
      <alignment vertical="center"/>
    </xf>
    <xf numFmtId="0" fontId="16" fillId="0" borderId="0" xfId="4" applyFont="1" applyFill="1" applyBorder="1" applyAlignment="1">
      <alignment vertical="center"/>
    </xf>
    <xf numFmtId="0" fontId="16" fillId="0" borderId="0" xfId="4" applyFont="1" applyFill="1" applyAlignment="1">
      <alignment vertical="center"/>
    </xf>
    <xf numFmtId="0" fontId="16" fillId="0" borderId="9" xfId="4" applyFont="1" applyFill="1" applyBorder="1" applyAlignment="1">
      <alignment vertical="center"/>
    </xf>
    <xf numFmtId="0" fontId="15" fillId="0" borderId="0" xfId="4" applyFont="1" applyFill="1" applyAlignment="1">
      <alignment vertical="center"/>
    </xf>
    <xf numFmtId="0" fontId="15" fillId="0" borderId="9" xfId="4" applyFont="1" applyFill="1" applyBorder="1" applyAlignment="1">
      <alignment vertical="center"/>
    </xf>
    <xf numFmtId="0" fontId="23" fillId="0" borderId="0" xfId="4" applyFont="1" applyFill="1" applyBorder="1" applyAlignment="1">
      <alignment vertical="center"/>
    </xf>
    <xf numFmtId="0" fontId="88" fillId="0" borderId="0" xfId="4" applyFont="1" applyFill="1" applyAlignment="1">
      <alignment vertical="center"/>
    </xf>
    <xf numFmtId="0" fontId="24" fillId="0" borderId="0" xfId="4" applyFont="1" applyFill="1" applyBorder="1" applyAlignment="1">
      <alignment vertical="center"/>
    </xf>
    <xf numFmtId="0" fontId="6" fillId="0" borderId="9" xfId="4" applyFont="1" applyFill="1" applyBorder="1" applyAlignment="1">
      <alignment vertical="center"/>
    </xf>
    <xf numFmtId="0" fontId="22" fillId="0" borderId="0" xfId="4" applyFont="1" applyFill="1" applyBorder="1" applyAlignment="1">
      <alignment horizontal="right" vertical="center"/>
    </xf>
    <xf numFmtId="0" fontId="22" fillId="0" borderId="0" xfId="4" applyFont="1" applyFill="1" applyBorder="1" applyAlignment="1">
      <alignment horizontal="center" vertical="center"/>
    </xf>
    <xf numFmtId="166" fontId="22" fillId="0" borderId="0" xfId="4" applyNumberFormat="1" applyFont="1" applyFill="1" applyBorder="1" applyAlignment="1">
      <alignment vertical="center"/>
    </xf>
    <xf numFmtId="0" fontId="22" fillId="0" borderId="0" xfId="4" applyFont="1" applyFill="1" applyBorder="1" applyAlignment="1">
      <alignment vertical="center"/>
    </xf>
    <xf numFmtId="167" fontId="22" fillId="0" borderId="0" xfId="4" applyNumberFormat="1" applyFont="1" applyFill="1" applyBorder="1" applyAlignment="1">
      <alignment vertical="center"/>
    </xf>
    <xf numFmtId="168" fontId="22" fillId="0" borderId="0" xfId="4" applyNumberFormat="1" applyFont="1" applyFill="1" applyBorder="1" applyAlignment="1">
      <alignment horizontal="left" vertical="center"/>
    </xf>
    <xf numFmtId="0" fontId="25" fillId="0" borderId="0" xfId="4" applyFont="1" applyFill="1" applyBorder="1" applyAlignment="1">
      <alignment horizontal="centerContinuous" vertical="center"/>
    </xf>
    <xf numFmtId="0" fontId="6" fillId="0" borderId="10" xfId="4" applyFont="1" applyFill="1" applyBorder="1" applyAlignment="1">
      <alignment vertical="center"/>
    </xf>
    <xf numFmtId="0" fontId="6" fillId="0" borderId="11" xfId="4" applyFont="1" applyFill="1" applyBorder="1" applyAlignment="1">
      <alignment vertical="center"/>
    </xf>
    <xf numFmtId="0" fontId="6" fillId="0" borderId="12" xfId="4" applyFont="1" applyFill="1" applyBorder="1" applyAlignment="1">
      <alignment vertical="center"/>
    </xf>
    <xf numFmtId="0" fontId="140" fillId="0" borderId="0" xfId="2" applyFont="1" applyFill="1" applyBorder="1" applyAlignment="1">
      <alignment horizontal="centerContinuous" vertical="center"/>
    </xf>
    <xf numFmtId="0" fontId="21" fillId="0" borderId="0" xfId="4" applyFont="1" applyFill="1" applyBorder="1" applyAlignment="1">
      <alignment vertical="center"/>
    </xf>
    <xf numFmtId="0" fontId="17" fillId="0" borderId="0" xfId="4" applyFont="1" applyFill="1" applyAlignment="1">
      <alignment vertical="center"/>
    </xf>
    <xf numFmtId="0" fontId="26" fillId="0" borderId="52" xfId="0" applyFont="1" applyBorder="1" applyAlignment="1">
      <alignment vertical="center"/>
    </xf>
    <xf numFmtId="0" fontId="14" fillId="9" borderId="52" xfId="2" applyFont="1" applyFill="1" applyBorder="1" applyAlignment="1" applyProtection="1">
      <alignment vertical="center"/>
    </xf>
    <xf numFmtId="0" fontId="99" fillId="9" borderId="52" xfId="0" applyFont="1" applyFill="1" applyBorder="1" applyAlignment="1">
      <alignment vertical="center"/>
    </xf>
    <xf numFmtId="0" fontId="194" fillId="0" borderId="0" xfId="0" applyFont="1" applyAlignment="1">
      <alignment horizontal="centerContinuous" vertical="center"/>
    </xf>
    <xf numFmtId="2" fontId="0" fillId="0" borderId="0" xfId="0" applyNumberFormat="1" applyAlignment="1">
      <alignment horizontal="centerContinuous" vertical="center" wrapText="1"/>
    </xf>
    <xf numFmtId="0" fontId="0" fillId="0" borderId="0" xfId="0" applyAlignment="1">
      <alignment horizontal="centerContinuous" vertical="center" wrapText="1"/>
    </xf>
    <xf numFmtId="0" fontId="76" fillId="0" borderId="0" xfId="4" applyFont="1" applyAlignment="1">
      <alignment horizontal="centerContinuous" vertical="center" wrapText="1"/>
    </xf>
    <xf numFmtId="2" fontId="0" fillId="0" borderId="0" xfId="0" applyNumberFormat="1"/>
    <xf numFmtId="2" fontId="154" fillId="9" borderId="1" xfId="0" applyNumberFormat="1" applyFont="1" applyFill="1" applyBorder="1" applyAlignment="1">
      <alignment horizontal="centerContinuous" vertical="center" wrapText="1"/>
    </xf>
    <xf numFmtId="2" fontId="154" fillId="9" borderId="14" xfId="0" applyNumberFormat="1" applyFont="1" applyFill="1" applyBorder="1" applyAlignment="1">
      <alignment horizontal="centerContinuous" vertical="center" wrapText="1"/>
    </xf>
    <xf numFmtId="2" fontId="154" fillId="9" borderId="15" xfId="0" applyNumberFormat="1" applyFont="1" applyFill="1" applyBorder="1" applyAlignment="1">
      <alignment horizontal="centerContinuous" vertical="center" wrapText="1"/>
    </xf>
    <xf numFmtId="0" fontId="154" fillId="9" borderId="1" xfId="0" applyFont="1" applyFill="1" applyBorder="1" applyAlignment="1">
      <alignment horizontal="centerContinuous" vertical="center" wrapText="1"/>
    </xf>
    <xf numFmtId="0" fontId="154" fillId="9" borderId="14" xfId="0" applyFont="1" applyFill="1" applyBorder="1" applyAlignment="1">
      <alignment horizontal="centerContinuous" vertical="center" wrapText="1"/>
    </xf>
    <xf numFmtId="0" fontId="154" fillId="9" borderId="15" xfId="0" applyFont="1" applyFill="1" applyBorder="1" applyAlignment="1">
      <alignment horizontal="centerContinuous" vertical="center" wrapText="1"/>
    </xf>
    <xf numFmtId="2" fontId="143" fillId="9" borderId="13" xfId="0" applyNumberFormat="1" applyFont="1" applyFill="1" applyBorder="1" applyAlignment="1">
      <alignment horizontal="center" vertical="center"/>
    </xf>
    <xf numFmtId="0" fontId="143" fillId="9" borderId="13" xfId="0" applyFont="1" applyFill="1" applyBorder="1" applyAlignment="1">
      <alignment horizontal="center" vertical="center"/>
    </xf>
    <xf numFmtId="0" fontId="38" fillId="0" borderId="13" xfId="0" applyFont="1" applyBorder="1" applyAlignment="1">
      <alignment horizontal="center" vertical="center"/>
    </xf>
    <xf numFmtId="2" fontId="38" fillId="0" borderId="13" xfId="0" applyNumberFormat="1" applyFont="1" applyBorder="1" applyAlignment="1">
      <alignment horizontal="center" vertical="center"/>
    </xf>
    <xf numFmtId="0" fontId="0" fillId="0" borderId="21" xfId="0" applyBorder="1"/>
    <xf numFmtId="0" fontId="38" fillId="0" borderId="21" xfId="0" applyFont="1" applyBorder="1"/>
    <xf numFmtId="2" fontId="0" fillId="0" borderId="21" xfId="0" applyNumberFormat="1" applyBorder="1"/>
    <xf numFmtId="0" fontId="0" fillId="0" borderId="20" xfId="0" applyBorder="1"/>
    <xf numFmtId="2" fontId="0" fillId="0" borderId="20" xfId="0" applyNumberFormat="1" applyBorder="1"/>
    <xf numFmtId="0" fontId="0" fillId="0" borderId="4" xfId="0" applyBorder="1"/>
    <xf numFmtId="2" fontId="0" fillId="0" borderId="4" xfId="0" applyNumberFormat="1" applyBorder="1"/>
    <xf numFmtId="0" fontId="58" fillId="9" borderId="1" xfId="0" applyFont="1" applyFill="1" applyBorder="1" applyAlignment="1">
      <alignment horizontal="centerContinuous" wrapText="1"/>
    </xf>
    <xf numFmtId="0" fontId="0" fillId="9" borderId="14" xfId="0" applyFill="1" applyBorder="1" applyAlignment="1">
      <alignment horizontal="centerContinuous" wrapText="1"/>
    </xf>
    <xf numFmtId="2" fontId="0" fillId="9" borderId="14" xfId="0" applyNumberFormat="1" applyFill="1" applyBorder="1" applyAlignment="1">
      <alignment horizontal="centerContinuous" wrapText="1"/>
    </xf>
    <xf numFmtId="2" fontId="0" fillId="9" borderId="15" xfId="0" applyNumberFormat="1" applyFill="1" applyBorder="1" applyAlignment="1">
      <alignment horizontal="centerContinuous" wrapText="1"/>
    </xf>
    <xf numFmtId="0" fontId="58" fillId="9" borderId="13" xfId="0" applyFont="1" applyFill="1" applyBorder="1"/>
    <xf numFmtId="164" fontId="46" fillId="6" borderId="13" xfId="4" applyNumberFormat="1" applyFont="1" applyFill="1" applyBorder="1" applyAlignment="1">
      <alignment horizontal="center" vertical="center" wrapText="1"/>
    </xf>
    <xf numFmtId="0" fontId="17" fillId="0" borderId="0" xfId="4" applyFont="1" applyAlignment="1">
      <alignment horizontal="left" vertical="center"/>
    </xf>
    <xf numFmtId="0" fontId="22" fillId="0" borderId="0" xfId="4" applyFont="1" applyAlignment="1">
      <alignment horizontal="left" vertical="center"/>
    </xf>
    <xf numFmtId="0" fontId="46" fillId="12" borderId="13" xfId="4" applyFont="1" applyFill="1" applyBorder="1" applyAlignment="1">
      <alignment horizontal="center" vertical="center"/>
    </xf>
    <xf numFmtId="0" fontId="58" fillId="12" borderId="2" xfId="4" applyFont="1" applyFill="1" applyBorder="1" applyAlignment="1">
      <alignment horizontal="center" vertical="center" wrapText="1"/>
    </xf>
    <xf numFmtId="0" fontId="6" fillId="12" borderId="52" xfId="4" applyFont="1" applyFill="1" applyBorder="1" applyAlignment="1">
      <alignment horizontal="center" vertical="center" wrapText="1"/>
    </xf>
    <xf numFmtId="3" fontId="17" fillId="12" borderId="2" xfId="4" applyNumberFormat="1" applyFont="1" applyFill="1" applyBorder="1" applyAlignment="1">
      <alignment vertical="center" wrapText="1"/>
    </xf>
    <xf numFmtId="0" fontId="6" fillId="12" borderId="2" xfId="4" applyFont="1" applyFill="1" applyBorder="1" applyAlignment="1">
      <alignment horizontal="center" vertical="center" wrapText="1"/>
    </xf>
    <xf numFmtId="0" fontId="38" fillId="12" borderId="2" xfId="4" applyFont="1" applyFill="1" applyBorder="1" applyAlignment="1">
      <alignment vertical="center" wrapText="1"/>
    </xf>
    <xf numFmtId="0" fontId="17" fillId="12" borderId="2" xfId="4" applyFont="1" applyFill="1" applyBorder="1" applyAlignment="1">
      <alignment horizontal="center" vertical="center" wrapText="1"/>
    </xf>
    <xf numFmtId="0" fontId="38" fillId="12" borderId="4" xfId="4" applyFont="1" applyFill="1" applyBorder="1" applyAlignment="1">
      <alignment vertical="center" wrapText="1"/>
    </xf>
    <xf numFmtId="0" fontId="6" fillId="12" borderId="4" xfId="4" applyFont="1" applyFill="1" applyBorder="1" applyAlignment="1">
      <alignment horizontal="center" vertical="center" wrapText="1"/>
    </xf>
    <xf numFmtId="184" fontId="6" fillId="12" borderId="4" xfId="4" applyNumberFormat="1" applyFont="1" applyFill="1" applyBorder="1" applyAlignment="1">
      <alignment vertical="center" wrapText="1"/>
    </xf>
    <xf numFmtId="49" fontId="6" fillId="12" borderId="13" xfId="4" applyNumberFormat="1" applyFont="1" applyFill="1" applyBorder="1" applyAlignment="1" applyProtection="1">
      <alignment horizontal="center" vertical="center" wrapText="1"/>
      <protection locked="0"/>
    </xf>
    <xf numFmtId="49" fontId="46" fillId="12" borderId="13" xfId="4" applyNumberFormat="1" applyFont="1" applyFill="1" applyBorder="1" applyAlignment="1" applyProtection="1">
      <alignment horizontal="center" vertical="center" wrapText="1"/>
    </xf>
    <xf numFmtId="0" fontId="6" fillId="12" borderId="13" xfId="4" applyFont="1" applyFill="1" applyBorder="1" applyAlignment="1" applyProtection="1">
      <alignment horizontal="center" vertical="center" wrapText="1"/>
      <protection locked="0"/>
    </xf>
    <xf numFmtId="164" fontId="6" fillId="12" borderId="13" xfId="4" applyNumberFormat="1" applyFont="1" applyFill="1" applyBorder="1" applyAlignment="1" applyProtection="1">
      <alignment vertical="center"/>
      <protection locked="0"/>
    </xf>
    <xf numFmtId="184" fontId="6" fillId="12" borderId="13" xfId="4" applyNumberFormat="1" applyFont="1" applyFill="1" applyBorder="1" applyAlignment="1" applyProtection="1">
      <alignment vertical="center"/>
      <protection locked="0"/>
    </xf>
    <xf numFmtId="184" fontId="17" fillId="12" borderId="13" xfId="4" applyNumberFormat="1" applyFont="1" applyFill="1" applyBorder="1" applyAlignment="1" applyProtection="1">
      <alignment vertical="center"/>
      <protection locked="0"/>
    </xf>
    <xf numFmtId="49" fontId="61" fillId="12" borderId="13" xfId="4" applyNumberFormat="1" applyFont="1" applyFill="1" applyBorder="1" applyAlignment="1">
      <alignment horizontal="center" vertical="center" wrapText="1"/>
    </xf>
    <xf numFmtId="0" fontId="46" fillId="12" borderId="13" xfId="4" applyFont="1" applyFill="1" applyBorder="1" applyAlignment="1">
      <alignment horizontal="center" vertical="center" wrapText="1"/>
    </xf>
    <xf numFmtId="185" fontId="46" fillId="12" borderId="13" xfId="4" applyNumberFormat="1" applyFont="1" applyFill="1" applyBorder="1" applyAlignment="1">
      <alignment horizontal="center" vertical="center" wrapText="1"/>
    </xf>
    <xf numFmtId="184" fontId="46" fillId="12" borderId="13" xfId="4" applyNumberFormat="1" applyFont="1" applyFill="1" applyBorder="1" applyAlignment="1">
      <alignment horizontal="center" vertical="center" wrapText="1"/>
    </xf>
    <xf numFmtId="184" fontId="46" fillId="12" borderId="13" xfId="4" applyNumberFormat="1" applyFont="1" applyFill="1" applyBorder="1" applyAlignment="1">
      <alignment horizontal="center" vertical="center"/>
    </xf>
    <xf numFmtId="49" fontId="46" fillId="12" borderId="13" xfId="4" applyNumberFormat="1" applyFont="1" applyFill="1" applyBorder="1" applyAlignment="1">
      <alignment horizontal="center" vertical="center" wrapText="1"/>
    </xf>
    <xf numFmtId="164" fontId="46" fillId="12" borderId="13" xfId="4" applyNumberFormat="1" applyFont="1" applyFill="1" applyBorder="1" applyAlignment="1">
      <alignment horizontal="center" vertical="center" wrapText="1"/>
    </xf>
    <xf numFmtId="164" fontId="46" fillId="12" borderId="13" xfId="4" applyNumberFormat="1" applyFont="1" applyFill="1" applyBorder="1" applyAlignment="1">
      <alignment horizontal="center" vertical="center"/>
    </xf>
    <xf numFmtId="184" fontId="65" fillId="12" borderId="1" xfId="4" applyNumberFormat="1" applyFont="1" applyFill="1" applyBorder="1" applyAlignment="1">
      <alignment horizontal="centerContinuous" vertical="center"/>
    </xf>
    <xf numFmtId="184" fontId="65" fillId="12" borderId="14" xfId="4" applyNumberFormat="1" applyFont="1" applyFill="1" applyBorder="1" applyAlignment="1">
      <alignment horizontal="centerContinuous" vertical="center"/>
    </xf>
    <xf numFmtId="184" fontId="65" fillId="12" borderId="15" xfId="4" applyNumberFormat="1" applyFont="1" applyFill="1" applyBorder="1" applyAlignment="1">
      <alignment horizontal="centerContinuous" vertical="center"/>
    </xf>
    <xf numFmtId="184" fontId="64" fillId="12" borderId="13" xfId="4" applyNumberFormat="1" applyFont="1" applyFill="1" applyBorder="1" applyAlignment="1">
      <alignment horizontal="center" vertical="center" wrapText="1"/>
    </xf>
    <xf numFmtId="184" fontId="46" fillId="12" borderId="13" xfId="5" applyNumberFormat="1" applyFont="1" applyFill="1" applyBorder="1" applyAlignment="1">
      <alignment horizontal="center" vertical="center" wrapText="1"/>
    </xf>
    <xf numFmtId="0" fontId="65" fillId="12" borderId="1" xfId="5" applyFont="1" applyFill="1" applyBorder="1" applyAlignment="1">
      <alignment horizontal="centerContinuous" vertical="center"/>
    </xf>
    <xf numFmtId="0" fontId="71" fillId="12" borderId="14" xfId="5" applyFont="1" applyFill="1" applyBorder="1" applyAlignment="1">
      <alignment horizontal="centerContinuous" vertical="center"/>
    </xf>
    <xf numFmtId="0" fontId="71" fillId="12" borderId="15" xfId="5" applyFont="1" applyFill="1" applyBorder="1" applyAlignment="1">
      <alignment horizontal="centerContinuous" vertical="center"/>
    </xf>
    <xf numFmtId="186" fontId="46" fillId="12" borderId="13" xfId="5" applyNumberFormat="1" applyFont="1" applyFill="1" applyBorder="1" applyAlignment="1">
      <alignment horizontal="center" vertical="center"/>
    </xf>
    <xf numFmtId="184" fontId="61" fillId="12" borderId="13" xfId="5" applyNumberFormat="1" applyFont="1" applyFill="1" applyBorder="1" applyAlignment="1">
      <alignment horizontal="center" vertical="center" wrapText="1"/>
    </xf>
    <xf numFmtId="2" fontId="154" fillId="12" borderId="1" xfId="0" applyNumberFormat="1" applyFont="1" applyFill="1" applyBorder="1" applyAlignment="1">
      <alignment horizontal="centerContinuous" vertical="center" wrapText="1"/>
    </xf>
    <xf numFmtId="2" fontId="154" fillId="12" borderId="14" xfId="0" applyNumberFormat="1" applyFont="1" applyFill="1" applyBorder="1" applyAlignment="1">
      <alignment horizontal="centerContinuous" vertical="center" wrapText="1"/>
    </xf>
    <xf numFmtId="2" fontId="154" fillId="12" borderId="15" xfId="0" applyNumberFormat="1" applyFont="1" applyFill="1" applyBorder="1" applyAlignment="1">
      <alignment horizontal="centerContinuous" vertical="center" wrapText="1"/>
    </xf>
    <xf numFmtId="0" fontId="154" fillId="12" borderId="1" xfId="0" applyFont="1" applyFill="1" applyBorder="1" applyAlignment="1">
      <alignment horizontal="centerContinuous" vertical="center" wrapText="1"/>
    </xf>
    <xf numFmtId="0" fontId="154" fillId="12" borderId="14" xfId="0" applyFont="1" applyFill="1" applyBorder="1" applyAlignment="1">
      <alignment horizontal="centerContinuous" vertical="center" wrapText="1"/>
    </xf>
    <xf numFmtId="0" fontId="154" fillId="12" borderId="15" xfId="0" applyFont="1" applyFill="1" applyBorder="1" applyAlignment="1">
      <alignment horizontal="centerContinuous" vertical="center" wrapText="1"/>
    </xf>
    <xf numFmtId="2" fontId="143" fillId="12" borderId="13" xfId="0" applyNumberFormat="1" applyFont="1" applyFill="1" applyBorder="1" applyAlignment="1">
      <alignment horizontal="center" vertical="center"/>
    </xf>
    <xf numFmtId="0" fontId="143" fillId="12" borderId="13" xfId="0" applyFont="1" applyFill="1" applyBorder="1" applyAlignment="1">
      <alignment horizontal="center" vertical="center"/>
    </xf>
    <xf numFmtId="0" fontId="0" fillId="12" borderId="14" xfId="0" applyFill="1" applyBorder="1" applyAlignment="1">
      <alignment horizontal="centerContinuous" wrapText="1"/>
    </xf>
    <xf numFmtId="2" fontId="0" fillId="12" borderId="14" xfId="0" applyNumberFormat="1" applyFill="1" applyBorder="1" applyAlignment="1">
      <alignment horizontal="centerContinuous" wrapText="1"/>
    </xf>
    <xf numFmtId="2" fontId="0" fillId="12" borderId="15" xfId="0" applyNumberFormat="1" applyFill="1" applyBorder="1" applyAlignment="1">
      <alignment horizontal="centerContinuous" wrapText="1"/>
    </xf>
    <xf numFmtId="0" fontId="58" fillId="12" borderId="13" xfId="0" applyFont="1" applyFill="1" applyBorder="1"/>
    <xf numFmtId="0" fontId="6" fillId="0" borderId="3" xfId="0" applyFont="1" applyBorder="1" applyAlignment="1">
      <alignment horizontal="center" vertical="center"/>
    </xf>
    <xf numFmtId="0" fontId="6" fillId="0" borderId="48" xfId="0" applyFont="1" applyBorder="1" applyAlignment="1">
      <alignment horizontal="center" vertical="center"/>
    </xf>
    <xf numFmtId="0" fontId="6" fillId="0" borderId="47" xfId="0" applyFont="1" applyBorder="1" applyAlignment="1">
      <alignment horizontal="center" vertical="center"/>
    </xf>
    <xf numFmtId="0" fontId="153" fillId="9" borderId="52" xfId="0" applyFont="1" applyFill="1" applyBorder="1" applyAlignment="1">
      <alignment horizontal="center" vertical="center"/>
    </xf>
    <xf numFmtId="0" fontId="195" fillId="0" borderId="13" xfId="0" applyFont="1" applyBorder="1" applyAlignment="1">
      <alignment horizontal="center" vertical="center" wrapText="1"/>
    </xf>
    <xf numFmtId="0" fontId="195" fillId="0" borderId="13" xfId="0" applyFont="1" applyBorder="1" applyAlignment="1">
      <alignment horizontal="center" vertical="center"/>
    </xf>
    <xf numFmtId="181" fontId="195" fillId="0" borderId="13" xfId="0" applyNumberFormat="1" applyFont="1" applyBorder="1" applyAlignment="1">
      <alignment vertical="center"/>
    </xf>
    <xf numFmtId="0" fontId="195" fillId="0" borderId="0" xfId="0" applyFont="1" applyAlignment="1">
      <alignment vertical="center"/>
    </xf>
    <xf numFmtId="0" fontId="196" fillId="0" borderId="0" xfId="0" applyFont="1"/>
    <xf numFmtId="164" fontId="79" fillId="12" borderId="13" xfId="0" applyNumberFormat="1" applyFont="1" applyFill="1" applyBorder="1" applyAlignment="1">
      <alignment horizontal="center" vertical="center"/>
    </xf>
    <xf numFmtId="0" fontId="84" fillId="12" borderId="2" xfId="4" applyFont="1" applyFill="1" applyBorder="1" applyAlignment="1">
      <alignment horizontal="center" vertical="center" wrapText="1"/>
    </xf>
    <xf numFmtId="0" fontId="85" fillId="12" borderId="2" xfId="4" applyFont="1" applyFill="1" applyBorder="1" applyAlignment="1">
      <alignment horizontal="center" vertical="center" wrapText="1"/>
    </xf>
    <xf numFmtId="0" fontId="84" fillId="12" borderId="4" xfId="4" applyFont="1" applyFill="1" applyBorder="1" applyAlignment="1">
      <alignment horizontal="center" vertical="center" wrapText="1"/>
    </xf>
    <xf numFmtId="0" fontId="34" fillId="12" borderId="13" xfId="4" applyFont="1" applyFill="1" applyBorder="1" applyAlignment="1" applyProtection="1">
      <alignment horizontal="center" vertical="center"/>
      <protection locked="0"/>
    </xf>
    <xf numFmtId="49" fontId="52" fillId="12" borderId="13" xfId="4" applyNumberFormat="1" applyFont="1" applyFill="1" applyBorder="1" applyAlignment="1" applyProtection="1">
      <alignment horizontal="center" vertical="center" wrapText="1"/>
    </xf>
    <xf numFmtId="3" fontId="52" fillId="12" borderId="13" xfId="4" applyNumberFormat="1" applyFont="1" applyFill="1" applyBorder="1" applyAlignment="1" applyProtection="1">
      <alignment horizontal="right" vertical="center" wrapText="1"/>
    </xf>
    <xf numFmtId="0" fontId="17" fillId="9" borderId="13" xfId="0" applyFont="1" applyFill="1" applyBorder="1" applyAlignment="1">
      <alignment horizontal="center" vertical="center"/>
    </xf>
    <xf numFmtId="0" fontId="17" fillId="9" borderId="13" xfId="0" applyFont="1" applyFill="1" applyBorder="1" applyAlignment="1">
      <alignment horizontal="center" vertical="center" wrapText="1"/>
    </xf>
    <xf numFmtId="0" fontId="58" fillId="12" borderId="1" xfId="0" applyFont="1" applyFill="1" applyBorder="1" applyAlignment="1">
      <alignment horizontal="centerContinuous" wrapText="1"/>
    </xf>
    <xf numFmtId="0" fontId="44" fillId="0" borderId="47" xfId="2" applyFont="1" applyBorder="1" applyAlignment="1" applyProtection="1">
      <alignment vertical="center"/>
    </xf>
    <xf numFmtId="0" fontId="44" fillId="0" borderId="52" xfId="2" applyFont="1" applyBorder="1" applyAlignment="1" applyProtection="1">
      <alignment horizontal="left" vertical="center"/>
    </xf>
    <xf numFmtId="0" fontId="147" fillId="0" borderId="0" xfId="0" applyFont="1"/>
    <xf numFmtId="0" fontId="44" fillId="0" borderId="52" xfId="2" applyFont="1" applyBorder="1" applyAlignment="1" applyProtection="1">
      <alignment vertical="center"/>
    </xf>
    <xf numFmtId="0" fontId="44" fillId="0" borderId="48" xfId="2" applyFont="1" applyBorder="1" applyAlignment="1" applyProtection="1">
      <alignment vertical="center"/>
    </xf>
    <xf numFmtId="0" fontId="0" fillId="0" borderId="0" xfId="0" applyAlignment="1">
      <alignment horizontal="centerContinuous" vertical="center"/>
    </xf>
    <xf numFmtId="3" fontId="197" fillId="0" borderId="13" xfId="0" applyNumberFormat="1" applyFont="1" applyFill="1" applyBorder="1" applyAlignment="1">
      <alignment horizontal="center"/>
    </xf>
    <xf numFmtId="0" fontId="197" fillId="0" borderId="48" xfId="7" applyFont="1" applyFill="1" applyBorder="1" applyAlignment="1">
      <alignment vertical="center"/>
    </xf>
    <xf numFmtId="0" fontId="197" fillId="0" borderId="13" xfId="0" applyFont="1" applyFill="1" applyBorder="1" applyAlignment="1">
      <alignment horizontal="center"/>
    </xf>
    <xf numFmtId="1" fontId="197" fillId="0" borderId="48" xfId="7" applyNumberFormat="1" applyFont="1" applyFill="1" applyBorder="1" applyAlignment="1">
      <alignment horizontal="center" vertical="center"/>
    </xf>
    <xf numFmtId="0" fontId="197" fillId="0" borderId="4" xfId="7" applyFont="1" applyFill="1" applyBorder="1" applyAlignment="1">
      <alignment vertical="center"/>
    </xf>
    <xf numFmtId="3" fontId="197" fillId="0" borderId="53" xfId="0" applyNumberFormat="1" applyFont="1" applyFill="1" applyBorder="1" applyAlignment="1">
      <alignment horizontal="center"/>
    </xf>
    <xf numFmtId="0" fontId="35" fillId="0" borderId="53" xfId="7" applyFont="1" applyFill="1" applyBorder="1" applyAlignment="1">
      <alignment vertical="center"/>
    </xf>
    <xf numFmtId="0" fontId="197" fillId="0" borderId="53" xfId="7" applyFont="1" applyFill="1" applyBorder="1" applyAlignment="1">
      <alignment vertical="center"/>
    </xf>
    <xf numFmtId="0" fontId="197" fillId="0" borderId="52" xfId="0" applyFont="1" applyFill="1" applyBorder="1" applyAlignment="1">
      <alignment horizontal="center"/>
    </xf>
    <xf numFmtId="0" fontId="197" fillId="0" borderId="32" xfId="0" applyFont="1" applyFill="1" applyBorder="1"/>
    <xf numFmtId="0" fontId="197" fillId="0" borderId="52" xfId="4" applyFont="1" applyBorder="1" applyAlignment="1">
      <alignment horizontal="center"/>
    </xf>
    <xf numFmtId="3" fontId="197" fillId="0" borderId="52" xfId="0" applyNumberFormat="1" applyFont="1" applyFill="1" applyBorder="1" applyAlignment="1">
      <alignment horizontal="center"/>
    </xf>
    <xf numFmtId="1" fontId="197" fillId="0" borderId="52" xfId="7" applyNumberFormat="1" applyFont="1" applyFill="1" applyBorder="1" applyAlignment="1">
      <alignment horizontal="center" vertical="center"/>
    </xf>
    <xf numFmtId="3" fontId="197" fillId="0" borderId="48" xfId="0" applyNumberFormat="1" applyFont="1" applyFill="1" applyBorder="1" applyAlignment="1">
      <alignment horizontal="center"/>
    </xf>
    <xf numFmtId="3" fontId="197" fillId="0" borderId="16" xfId="0" applyNumberFormat="1" applyFont="1" applyFill="1" applyBorder="1" applyAlignment="1">
      <alignment horizontal="center"/>
    </xf>
    <xf numFmtId="0" fontId="197" fillId="0" borderId="49" xfId="0" applyFont="1" applyFill="1" applyBorder="1"/>
    <xf numFmtId="1" fontId="197" fillId="0" borderId="16" xfId="7" applyNumberFormat="1" applyFont="1" applyFill="1" applyBorder="1" applyAlignment="1">
      <alignment horizontal="center" vertical="center"/>
    </xf>
    <xf numFmtId="3" fontId="197" fillId="0" borderId="18" xfId="0" applyNumberFormat="1" applyFont="1" applyFill="1" applyBorder="1" applyAlignment="1">
      <alignment horizontal="center"/>
    </xf>
    <xf numFmtId="0" fontId="197" fillId="0" borderId="33" xfId="0" applyFont="1" applyFill="1" applyBorder="1"/>
    <xf numFmtId="1" fontId="197" fillId="0" borderId="18" xfId="7" applyNumberFormat="1" applyFont="1" applyFill="1" applyBorder="1" applyAlignment="1">
      <alignment horizontal="center" vertical="center"/>
    </xf>
    <xf numFmtId="0" fontId="35" fillId="0" borderId="13" xfId="7" applyFont="1" applyFill="1" applyBorder="1" applyAlignment="1">
      <alignment vertical="center"/>
    </xf>
    <xf numFmtId="1" fontId="197" fillId="0" borderId="13" xfId="7" applyNumberFormat="1" applyFont="1" applyFill="1" applyBorder="1" applyAlignment="1">
      <alignment horizontal="center" vertical="center"/>
    </xf>
    <xf numFmtId="0" fontId="35" fillId="0" borderId="3" xfId="7" applyFont="1" applyFill="1" applyBorder="1" applyAlignment="1">
      <alignment vertical="center"/>
    </xf>
    <xf numFmtId="172" fontId="197" fillId="0" borderId="3" xfId="8" applyNumberFormat="1" applyFont="1" applyFill="1" applyBorder="1" applyAlignment="1">
      <alignment horizontal="center" vertical="center"/>
    </xf>
    <xf numFmtId="0" fontId="197" fillId="0" borderId="17" xfId="7" applyFont="1" applyFill="1" applyBorder="1" applyAlignment="1">
      <alignment vertical="center"/>
    </xf>
    <xf numFmtId="9" fontId="197" fillId="0" borderId="17" xfId="8" applyNumberFormat="1" applyFont="1" applyFill="1" applyBorder="1" applyAlignment="1">
      <alignment horizontal="center" vertical="center"/>
    </xf>
    <xf numFmtId="172" fontId="197" fillId="0" borderId="17" xfId="8" applyNumberFormat="1" applyFont="1" applyFill="1" applyBorder="1" applyAlignment="1">
      <alignment horizontal="center" vertical="center"/>
    </xf>
    <xf numFmtId="0" fontId="197" fillId="0" borderId="17" xfId="4" applyNumberFormat="1" applyFont="1" applyFill="1" applyBorder="1"/>
    <xf numFmtId="0" fontId="197" fillId="0" borderId="2" xfId="7" applyFont="1" applyFill="1" applyBorder="1" applyAlignment="1">
      <alignment vertical="center"/>
    </xf>
    <xf numFmtId="172" fontId="197" fillId="0" borderId="2" xfId="8" quotePrefix="1" applyNumberFormat="1" applyFont="1" applyFill="1" applyBorder="1" applyAlignment="1">
      <alignment horizontal="center" vertical="center"/>
    </xf>
    <xf numFmtId="9" fontId="197" fillId="0" borderId="2" xfId="8" applyNumberFormat="1" applyFont="1" applyFill="1" applyBorder="1" applyAlignment="1">
      <alignment horizontal="center" vertical="center"/>
    </xf>
    <xf numFmtId="0" fontId="197" fillId="0" borderId="13" xfId="7" applyFont="1" applyFill="1" applyBorder="1" applyAlignment="1">
      <alignment horizontal="center" vertical="center"/>
    </xf>
    <xf numFmtId="9" fontId="197" fillId="0" borderId="13" xfId="8" applyNumberFormat="1" applyFont="1" applyFill="1" applyBorder="1" applyAlignment="1">
      <alignment horizontal="center" vertical="center"/>
    </xf>
    <xf numFmtId="172" fontId="197" fillId="0" borderId="13" xfId="8" applyNumberFormat="1" applyFont="1" applyFill="1" applyBorder="1" applyAlignment="1">
      <alignment horizontal="center" vertical="center"/>
    </xf>
    <xf numFmtId="0" fontId="197" fillId="0" borderId="4" xfId="7" applyFont="1" applyFill="1" applyBorder="1" applyAlignment="1">
      <alignment horizontal="center" vertical="center"/>
    </xf>
    <xf numFmtId="172" fontId="197" fillId="0" borderId="4" xfId="8" quotePrefix="1" applyNumberFormat="1" applyFont="1" applyFill="1" applyBorder="1" applyAlignment="1">
      <alignment horizontal="center" vertical="center"/>
    </xf>
    <xf numFmtId="9" fontId="197" fillId="0" borderId="4" xfId="8" applyNumberFormat="1" applyFont="1" applyFill="1" applyBorder="1" applyAlignment="1">
      <alignment horizontal="center" vertical="center"/>
    </xf>
    <xf numFmtId="0" fontId="197" fillId="0" borderId="3" xfId="4" applyNumberFormat="1" applyFont="1" applyFill="1" applyBorder="1" applyAlignment="1">
      <alignment horizontal="center"/>
    </xf>
    <xf numFmtId="0" fontId="35" fillId="0" borderId="3" xfId="4" applyNumberFormat="1" applyFont="1" applyFill="1" applyBorder="1"/>
    <xf numFmtId="172" fontId="197" fillId="0" borderId="3" xfId="8" applyNumberFormat="1" applyFont="1" applyFill="1" applyBorder="1" applyAlignment="1">
      <alignment horizontal="center"/>
    </xf>
    <xf numFmtId="0" fontId="197" fillId="0" borderId="2" xfId="4" applyNumberFormat="1" applyFont="1" applyFill="1" applyBorder="1" applyAlignment="1">
      <alignment horizontal="center"/>
    </xf>
    <xf numFmtId="0" fontId="197" fillId="0" borderId="2" xfId="4" applyNumberFormat="1" applyFont="1" applyFill="1" applyBorder="1"/>
    <xf numFmtId="172" fontId="197" fillId="0" borderId="2" xfId="8" applyNumberFormat="1" applyFont="1" applyFill="1" applyBorder="1" applyAlignment="1">
      <alignment horizontal="center"/>
    </xf>
    <xf numFmtId="0" fontId="197" fillId="0" borderId="16" xfId="4" applyNumberFormat="1" applyFont="1" applyFill="1" applyBorder="1" applyAlignment="1">
      <alignment horizontal="center"/>
    </xf>
    <xf numFmtId="0" fontId="197" fillId="0" borderId="16" xfId="4" applyNumberFormat="1" applyFont="1" applyFill="1" applyBorder="1"/>
    <xf numFmtId="9" fontId="197" fillId="0" borderId="16" xfId="8" applyFont="1" applyFill="1" applyBorder="1" applyAlignment="1">
      <alignment horizontal="center"/>
    </xf>
    <xf numFmtId="9" fontId="197" fillId="0" borderId="3" xfId="8" applyFont="1" applyFill="1" applyBorder="1" applyAlignment="1">
      <alignment horizontal="center"/>
    </xf>
    <xf numFmtId="0" fontId="197" fillId="0" borderId="17" xfId="4" applyNumberFormat="1" applyFont="1" applyFill="1" applyBorder="1" applyAlignment="1">
      <alignment horizontal="center"/>
    </xf>
    <xf numFmtId="172" fontId="197" fillId="0" borderId="17" xfId="8" applyNumberFormat="1" applyFont="1" applyFill="1" applyBorder="1" applyAlignment="1">
      <alignment horizontal="center"/>
    </xf>
    <xf numFmtId="0" fontId="197" fillId="0" borderId="13" xfId="4" applyNumberFormat="1" applyFont="1" applyFill="1" applyBorder="1" applyAlignment="1">
      <alignment horizontal="center"/>
    </xf>
    <xf numFmtId="0" fontId="35" fillId="0" borderId="13" xfId="4" applyNumberFormat="1" applyFont="1" applyFill="1" applyBorder="1"/>
    <xf numFmtId="9" fontId="197" fillId="0" borderId="13" xfId="8" applyFont="1" applyFill="1" applyBorder="1" applyAlignment="1">
      <alignment horizontal="center"/>
    </xf>
    <xf numFmtId="0" fontId="197" fillId="0" borderId="18" xfId="4" applyNumberFormat="1" applyFont="1" applyFill="1" applyBorder="1" applyAlignment="1">
      <alignment horizontal="center"/>
    </xf>
    <xf numFmtId="0" fontId="35" fillId="0" borderId="18" xfId="4" applyNumberFormat="1" applyFont="1" applyFill="1" applyBorder="1"/>
    <xf numFmtId="9" fontId="197" fillId="0" borderId="18" xfId="8" applyFont="1" applyFill="1" applyBorder="1" applyAlignment="1">
      <alignment horizontal="center"/>
    </xf>
    <xf numFmtId="9" fontId="197" fillId="0" borderId="2" xfId="8" applyFont="1" applyFill="1" applyBorder="1" applyAlignment="1">
      <alignment horizontal="center"/>
    </xf>
    <xf numFmtId="0" fontId="6" fillId="0" borderId="1" xfId="7" applyFont="1" applyFill="1" applyBorder="1" applyAlignment="1">
      <alignment horizontal="centerContinuous" vertical="center"/>
    </xf>
    <xf numFmtId="0" fontId="6" fillId="0" borderId="15" xfId="7" applyFont="1" applyFill="1" applyBorder="1" applyAlignment="1">
      <alignment horizontal="centerContinuous" vertical="center"/>
    </xf>
    <xf numFmtId="0" fontId="6" fillId="0" borderId="13" xfId="7" applyFont="1" applyFill="1" applyBorder="1" applyAlignment="1">
      <alignment horizontal="center" vertical="center"/>
    </xf>
    <xf numFmtId="3" fontId="17" fillId="0" borderId="13" xfId="0" applyNumberFormat="1" applyFont="1" applyFill="1" applyBorder="1" applyAlignment="1">
      <alignment horizontal="center"/>
    </xf>
    <xf numFmtId="0" fontId="198" fillId="0" borderId="13" xfId="0" applyFont="1" applyFill="1" applyBorder="1" applyAlignment="1">
      <alignment horizontal="center" vertical="center"/>
    </xf>
    <xf numFmtId="0" fontId="194" fillId="0" borderId="0" xfId="126" applyFont="1" applyAlignment="1">
      <alignment horizontal="centerContinuous" vertical="center"/>
    </xf>
    <xf numFmtId="0" fontId="199" fillId="0" borderId="0" xfId="126" applyAlignment="1">
      <alignment horizontal="centerContinuous" vertical="center"/>
    </xf>
    <xf numFmtId="0" fontId="199" fillId="0" borderId="0" xfId="126"/>
    <xf numFmtId="49" fontId="46" fillId="0" borderId="13" xfId="4" applyNumberFormat="1" applyFont="1" applyFill="1" applyBorder="1" applyAlignment="1">
      <alignment horizontal="center" vertical="center" wrapText="1"/>
    </xf>
    <xf numFmtId="0" fontId="192" fillId="0" borderId="53" xfId="126" applyFont="1" applyBorder="1" applyAlignment="1">
      <alignment horizontal="center" vertical="center"/>
    </xf>
    <xf numFmtId="0" fontId="201" fillId="0" borderId="56" xfId="127" applyFont="1" applyBorder="1" applyAlignment="1">
      <alignment horizontal="left" vertical="top"/>
    </xf>
    <xf numFmtId="0" fontId="38" fillId="0" borderId="56" xfId="126" applyFont="1" applyBorder="1" applyAlignment="1">
      <alignment horizontal="center" vertical="top"/>
    </xf>
    <xf numFmtId="0" fontId="203" fillId="0" borderId="52" xfId="126" applyFont="1" applyBorder="1" applyAlignment="1">
      <alignment horizontal="center" vertical="center"/>
    </xf>
    <xf numFmtId="0" fontId="60" fillId="0" borderId="32" xfId="127" applyFont="1" applyBorder="1" applyAlignment="1">
      <alignment horizontal="left" vertical="top"/>
    </xf>
    <xf numFmtId="0" fontId="38" fillId="0" borderId="32" xfId="126" applyFont="1" applyBorder="1" applyAlignment="1">
      <alignment horizontal="center" vertical="top"/>
    </xf>
    <xf numFmtId="3" fontId="203" fillId="0" borderId="52" xfId="127" applyNumberFormat="1" applyFont="1" applyBorder="1" applyAlignment="1">
      <alignment vertical="center"/>
    </xf>
    <xf numFmtId="0" fontId="203" fillId="0" borderId="52" xfId="126" applyFont="1" applyBorder="1" applyAlignment="1">
      <alignment vertical="center"/>
    </xf>
    <xf numFmtId="0" fontId="205" fillId="0" borderId="32" xfId="127" applyFont="1" applyBorder="1" applyAlignment="1">
      <alignment horizontal="left" vertical="top"/>
    </xf>
    <xf numFmtId="3" fontId="206" fillId="0" borderId="52" xfId="127" applyNumberFormat="1" applyFont="1" applyBorder="1" applyAlignment="1">
      <alignment vertical="center"/>
    </xf>
    <xf numFmtId="3" fontId="203" fillId="0" borderId="52" xfId="128" applyNumberFormat="1" applyFont="1" applyBorder="1" applyAlignment="1">
      <alignment horizontal="right" vertical="center"/>
    </xf>
    <xf numFmtId="0" fontId="192" fillId="0" borderId="52" xfId="126" applyFont="1" applyBorder="1" applyAlignment="1">
      <alignment horizontal="center" vertical="center"/>
    </xf>
    <xf numFmtId="0" fontId="201" fillId="0" borderId="32" xfId="127" applyFont="1" applyBorder="1" applyAlignment="1">
      <alignment horizontal="left" vertical="top"/>
    </xf>
    <xf numFmtId="0" fontId="200" fillId="0" borderId="52" xfId="127" applyFont="1" applyBorder="1" applyAlignment="1">
      <alignment vertical="center"/>
    </xf>
    <xf numFmtId="10" fontId="203" fillId="0" borderId="52" xfId="127" applyNumberFormat="1" applyFont="1" applyBorder="1" applyAlignment="1">
      <alignment vertical="center"/>
    </xf>
    <xf numFmtId="0" fontId="203" fillId="0" borderId="52" xfId="127" applyFont="1" applyBorder="1" applyAlignment="1">
      <alignment vertical="center"/>
    </xf>
    <xf numFmtId="10" fontId="206" fillId="0" borderId="52" xfId="127" applyNumberFormat="1" applyFont="1" applyBorder="1" applyAlignment="1">
      <alignment vertical="center"/>
    </xf>
    <xf numFmtId="0" fontId="203" fillId="0" borderId="48" xfId="126" applyFont="1" applyBorder="1" applyAlignment="1">
      <alignment vertical="center"/>
    </xf>
    <xf numFmtId="0" fontId="203" fillId="0" borderId="57" xfId="126" applyFont="1" applyBorder="1" applyAlignment="1">
      <alignment horizontal="center" vertical="top"/>
    </xf>
    <xf numFmtId="0" fontId="38" fillId="0" borderId="57" xfId="126" applyFont="1" applyBorder="1" applyAlignment="1">
      <alignment horizontal="center" vertical="top"/>
    </xf>
    <xf numFmtId="0" fontId="207" fillId="0" borderId="0" xfId="126" applyFont="1" applyAlignment="1">
      <alignment horizontal="centerContinuous" vertical="center"/>
    </xf>
    <xf numFmtId="0" fontId="199" fillId="0" borderId="0" xfId="126" applyAlignment="1">
      <alignment vertical="center"/>
    </xf>
    <xf numFmtId="0" fontId="199" fillId="0" borderId="0" xfId="126" applyAlignment="1"/>
    <xf numFmtId="0" fontId="199" fillId="0" borderId="0" xfId="126" applyAlignment="1">
      <alignment wrapText="1"/>
    </xf>
    <xf numFmtId="49" fontId="38" fillId="0" borderId="0" xfId="126" applyNumberFormat="1" applyFont="1"/>
    <xf numFmtId="0" fontId="199" fillId="0" borderId="0" xfId="126" applyFill="1"/>
    <xf numFmtId="0" fontId="38" fillId="0" borderId="0" xfId="126" applyFont="1"/>
    <xf numFmtId="0" fontId="58" fillId="0" borderId="0" xfId="126" applyFont="1"/>
    <xf numFmtId="0" fontId="46" fillId="9" borderId="13" xfId="126" applyFont="1" applyFill="1" applyBorder="1" applyAlignment="1">
      <alignment horizontal="center" vertical="center"/>
    </xf>
    <xf numFmtId="0" fontId="46" fillId="9" borderId="13" xfId="126" applyFont="1" applyFill="1" applyBorder="1" applyAlignment="1">
      <alignment horizontal="center" vertical="center" wrapText="1"/>
    </xf>
    <xf numFmtId="0" fontId="86" fillId="0" borderId="58" xfId="126" applyFont="1" applyFill="1" applyBorder="1" applyAlignment="1">
      <alignment horizontal="center" vertical="center"/>
    </xf>
    <xf numFmtId="0" fontId="46" fillId="0" borderId="59" xfId="126" applyFont="1" applyFill="1" applyBorder="1" applyAlignment="1">
      <alignment horizontal="center" vertical="center"/>
    </xf>
    <xf numFmtId="0" fontId="46" fillId="0" borderId="60" xfId="126" applyFont="1" applyFill="1" applyBorder="1" applyAlignment="1">
      <alignment horizontal="center" vertical="center"/>
    </xf>
    <xf numFmtId="0" fontId="199" fillId="0" borderId="61" xfId="126" applyBorder="1" applyAlignment="1">
      <alignment horizontal="center" vertical="center"/>
    </xf>
    <xf numFmtId="10" fontId="38" fillId="0" borderId="62" xfId="126" applyNumberFormat="1" applyFont="1" applyBorder="1" applyAlignment="1">
      <alignment horizontal="center"/>
    </xf>
    <xf numFmtId="10" fontId="38" fillId="0" borderId="63" xfId="126" applyNumberFormat="1" applyFont="1" applyBorder="1" applyAlignment="1">
      <alignment horizontal="center"/>
    </xf>
    <xf numFmtId="0" fontId="199" fillId="0" borderId="61" xfId="126" applyFill="1" applyBorder="1" applyAlignment="1">
      <alignment horizontal="center" vertical="center"/>
    </xf>
    <xf numFmtId="10" fontId="38" fillId="0" borderId="62" xfId="126" applyNumberFormat="1" applyFont="1" applyFill="1" applyBorder="1" applyAlignment="1">
      <alignment horizontal="center"/>
    </xf>
    <xf numFmtId="10" fontId="38" fillId="0" borderId="63" xfId="126" applyNumberFormat="1" applyFont="1" applyFill="1" applyBorder="1" applyAlignment="1">
      <alignment horizontal="center"/>
    </xf>
    <xf numFmtId="3" fontId="207" fillId="0" borderId="0" xfId="126" applyNumberFormat="1" applyFont="1" applyAlignment="1">
      <alignment horizontal="centerContinuous" vertical="center"/>
    </xf>
    <xf numFmtId="10" fontId="207" fillId="0" borderId="0" xfId="126" applyNumberFormat="1" applyFont="1" applyAlignment="1">
      <alignment horizontal="centerContinuous" vertical="center"/>
    </xf>
    <xf numFmtId="10" fontId="199" fillId="0" borderId="0" xfId="126" applyNumberFormat="1"/>
    <xf numFmtId="3" fontId="76" fillId="0" borderId="0" xfId="4" applyNumberFormat="1" applyFont="1" applyAlignment="1">
      <alignment horizontal="centerContinuous" vertical="center"/>
    </xf>
    <xf numFmtId="3" fontId="17" fillId="0" borderId="0" xfId="4" applyNumberFormat="1" applyFont="1" applyAlignment="1">
      <alignment horizontal="centerContinuous" vertical="center"/>
    </xf>
    <xf numFmtId="10" fontId="17" fillId="0" borderId="0" xfId="4" applyNumberFormat="1" applyFont="1" applyAlignment="1">
      <alignment horizontal="centerContinuous" vertical="center"/>
    </xf>
    <xf numFmtId="3" fontId="58" fillId="0" borderId="0" xfId="4" applyNumberFormat="1" applyFont="1" applyAlignment="1">
      <alignment horizontal="centerContinuous" vertical="center"/>
    </xf>
    <xf numFmtId="10" fontId="58" fillId="0" borderId="0" xfId="4" applyNumberFormat="1" applyFont="1" applyAlignment="1">
      <alignment horizontal="centerContinuous" vertical="center"/>
    </xf>
    <xf numFmtId="0" fontId="199" fillId="0" borderId="0" xfId="126" applyAlignment="1">
      <alignment vertical="center" wrapText="1"/>
    </xf>
    <xf numFmtId="3" fontId="199" fillId="0" borderId="0" xfId="126" applyNumberFormat="1" applyAlignment="1">
      <alignment horizontal="right" vertical="center"/>
    </xf>
    <xf numFmtId="3" fontId="40" fillId="0" borderId="0" xfId="126" applyNumberFormat="1" applyFont="1" applyAlignment="1">
      <alignment horizontal="right" vertical="center"/>
    </xf>
    <xf numFmtId="0" fontId="78" fillId="6" borderId="13" xfId="126" applyFont="1" applyFill="1" applyBorder="1" applyAlignment="1">
      <alignment horizontal="center" vertical="center" wrapText="1"/>
    </xf>
    <xf numFmtId="0" fontId="78" fillId="6" borderId="13" xfId="126" applyNumberFormat="1" applyFont="1" applyFill="1" applyBorder="1" applyAlignment="1">
      <alignment horizontal="center" vertical="center" wrapText="1"/>
    </xf>
    <xf numFmtId="3" fontId="78" fillId="6" borderId="13" xfId="126" applyNumberFormat="1" applyFont="1" applyFill="1" applyBorder="1" applyAlignment="1">
      <alignment horizontal="center" vertical="center" wrapText="1"/>
    </xf>
    <xf numFmtId="10" fontId="78" fillId="6" borderId="13" xfId="126" applyNumberFormat="1" applyFont="1" applyFill="1" applyBorder="1" applyAlignment="1">
      <alignment horizontal="center" vertical="center" wrapText="1"/>
    </xf>
    <xf numFmtId="0" fontId="38" fillId="0" borderId="13" xfId="126" applyFont="1" applyBorder="1" applyAlignment="1">
      <alignment horizontal="center" vertical="center"/>
    </xf>
    <xf numFmtId="3" fontId="38" fillId="0" borderId="13" xfId="126" applyNumberFormat="1" applyFont="1" applyBorder="1" applyAlignment="1">
      <alignment horizontal="center" vertical="center"/>
    </xf>
    <xf numFmtId="10" fontId="38" fillId="0" borderId="13" xfId="126" applyNumberFormat="1" applyFont="1" applyBorder="1" applyAlignment="1">
      <alignment horizontal="center" vertical="center"/>
    </xf>
    <xf numFmtId="0" fontId="199" fillId="0" borderId="0" xfId="126" applyAlignment="1">
      <alignment horizontal="center" vertical="center"/>
    </xf>
    <xf numFmtId="0" fontId="199" fillId="0" borderId="0" xfId="126" applyNumberFormat="1" applyAlignment="1">
      <alignment vertical="center"/>
    </xf>
    <xf numFmtId="3" fontId="199" fillId="0" borderId="0" xfId="126" applyNumberFormat="1" applyAlignment="1">
      <alignment vertical="center"/>
    </xf>
    <xf numFmtId="3" fontId="199" fillId="0" borderId="0" xfId="126" applyNumberFormat="1"/>
    <xf numFmtId="3" fontId="200" fillId="0" borderId="18" xfId="127" applyNumberFormat="1" applyFont="1" applyBorder="1" applyAlignment="1">
      <alignment vertical="center"/>
    </xf>
    <xf numFmtId="3" fontId="206" fillId="0" borderId="21" xfId="127" applyNumberFormat="1" applyFont="1" applyBorder="1" applyAlignment="1">
      <alignment vertical="center"/>
    </xf>
    <xf numFmtId="3" fontId="200" fillId="0" borderId="21" xfId="127" applyNumberFormat="1" applyFont="1" applyBorder="1" applyAlignment="1">
      <alignment vertical="center"/>
    </xf>
    <xf numFmtId="184" fontId="199" fillId="0" borderId="0" xfId="126" applyNumberFormat="1" applyFill="1"/>
    <xf numFmtId="184" fontId="58" fillId="0" borderId="0" xfId="126" applyNumberFormat="1" applyFont="1" applyFill="1"/>
    <xf numFmtId="0" fontId="210" fillId="0" borderId="13" xfId="4" applyFont="1" applyFill="1" applyBorder="1" applyAlignment="1">
      <alignment horizontal="center" vertical="center"/>
    </xf>
    <xf numFmtId="49" fontId="210" fillId="0" borderId="13" xfId="4" applyNumberFormat="1" applyFont="1" applyFill="1" applyBorder="1" applyAlignment="1">
      <alignment horizontal="center" vertical="center" wrapText="1"/>
    </xf>
    <xf numFmtId="0" fontId="210" fillId="0" borderId="13" xfId="4" applyFont="1" applyFill="1" applyBorder="1" applyAlignment="1">
      <alignment horizontal="center" vertical="center" wrapText="1"/>
    </xf>
    <xf numFmtId="185" fontId="210" fillId="0" borderId="13" xfId="4" applyNumberFormat="1" applyFont="1" applyFill="1" applyBorder="1" applyAlignment="1">
      <alignment horizontal="center" vertical="center" wrapText="1"/>
    </xf>
    <xf numFmtId="184" fontId="210" fillId="0" borderId="13" xfId="4" applyNumberFormat="1" applyFont="1" applyFill="1" applyBorder="1" applyAlignment="1">
      <alignment horizontal="center" vertical="center" wrapText="1"/>
    </xf>
    <xf numFmtId="184" fontId="210" fillId="0" borderId="13" xfId="4" applyNumberFormat="1" applyFont="1" applyFill="1" applyBorder="1" applyAlignment="1">
      <alignment horizontal="center" vertical="center"/>
    </xf>
    <xf numFmtId="0" fontId="211" fillId="0" borderId="13" xfId="5" applyFont="1" applyFill="1" applyBorder="1" applyAlignment="1">
      <alignment horizontal="center" vertical="center"/>
    </xf>
    <xf numFmtId="184" fontId="211" fillId="0" borderId="13" xfId="0" applyNumberFormat="1" applyFont="1" applyFill="1" applyBorder="1" applyAlignment="1">
      <alignment horizontal="center" vertical="center"/>
    </xf>
    <xf numFmtId="0" fontId="213" fillId="0" borderId="13" xfId="4" applyFont="1" applyBorder="1" applyAlignment="1">
      <alignment horizontal="center" vertical="center" wrapText="1"/>
    </xf>
    <xf numFmtId="0" fontId="212" fillId="0" borderId="13" xfId="4" applyFont="1" applyBorder="1" applyAlignment="1">
      <alignment horizontal="center" vertical="center"/>
    </xf>
    <xf numFmtId="0" fontId="212" fillId="0" borderId="13" xfId="4" applyFont="1" applyFill="1" applyBorder="1" applyAlignment="1">
      <alignment horizontal="center"/>
    </xf>
    <xf numFmtId="0" fontId="213" fillId="0" borderId="13" xfId="4" applyFont="1" applyBorder="1" applyAlignment="1">
      <alignment horizontal="center" wrapText="1"/>
    </xf>
    <xf numFmtId="0" fontId="212" fillId="0" borderId="13" xfId="4" applyFont="1" applyFill="1" applyBorder="1" applyAlignment="1">
      <alignment horizontal="center" wrapText="1"/>
    </xf>
    <xf numFmtId="4" fontId="212" fillId="0" borderId="13" xfId="4" applyNumberFormat="1" applyFont="1" applyFill="1" applyBorder="1" applyAlignment="1">
      <alignment horizontal="center" wrapText="1"/>
    </xf>
    <xf numFmtId="164" fontId="212" fillId="0" borderId="13" xfId="4" applyNumberFormat="1" applyFont="1" applyFill="1" applyBorder="1" applyAlignment="1">
      <alignment horizontal="center"/>
    </xf>
    <xf numFmtId="0" fontId="212" fillId="0" borderId="13" xfId="4" applyNumberFormat="1" applyFont="1" applyFill="1" applyBorder="1" applyAlignment="1">
      <alignment horizontal="center"/>
    </xf>
    <xf numFmtId="184" fontId="212" fillId="0" borderId="13" xfId="4" applyNumberFormat="1" applyFont="1" applyFill="1" applyBorder="1" applyAlignment="1">
      <alignment horizontal="center"/>
    </xf>
    <xf numFmtId="3" fontId="212" fillId="0" borderId="13" xfId="4" applyNumberFormat="1" applyFont="1" applyFill="1" applyBorder="1" applyAlignment="1">
      <alignment horizontal="center"/>
    </xf>
    <xf numFmtId="3" fontId="212" fillId="0" borderId="13" xfId="4" applyNumberFormat="1" applyFont="1" applyBorder="1" applyAlignment="1">
      <alignment horizontal="center"/>
    </xf>
    <xf numFmtId="0" fontId="212" fillId="0" borderId="13" xfId="4" applyFont="1" applyBorder="1" applyAlignment="1">
      <alignment horizontal="center"/>
    </xf>
    <xf numFmtId="3" fontId="214" fillId="0" borderId="13" xfId="6" applyNumberFormat="1" applyFont="1" applyFill="1" applyBorder="1" applyAlignment="1" applyProtection="1">
      <alignment horizontal="center" vertical="center"/>
      <protection hidden="1"/>
    </xf>
    <xf numFmtId="4" fontId="214" fillId="0" borderId="13" xfId="6" applyNumberFormat="1" applyFont="1" applyFill="1" applyBorder="1" applyAlignment="1" applyProtection="1">
      <alignment horizontal="center" vertical="center"/>
      <protection hidden="1"/>
    </xf>
    <xf numFmtId="165" fontId="214" fillId="0" borderId="13" xfId="6" applyNumberFormat="1" applyFont="1" applyFill="1" applyBorder="1" applyAlignment="1" applyProtection="1">
      <alignment horizontal="center" vertical="center"/>
      <protection hidden="1"/>
    </xf>
    <xf numFmtId="164" fontId="214" fillId="0" borderId="13" xfId="6" applyNumberFormat="1" applyFont="1" applyFill="1" applyBorder="1" applyAlignment="1" applyProtection="1">
      <alignment horizontal="center" vertical="center"/>
      <protection hidden="1"/>
    </xf>
    <xf numFmtId="0" fontId="212" fillId="0" borderId="13" xfId="4" applyFont="1" applyBorder="1" applyAlignment="1">
      <alignment horizontal="center" vertical="center" wrapText="1"/>
    </xf>
    <xf numFmtId="0" fontId="212" fillId="0" borderId="13" xfId="4" applyFont="1" applyBorder="1" applyAlignment="1">
      <alignment horizontal="center" wrapText="1"/>
    </xf>
    <xf numFmtId="0" fontId="215" fillId="0" borderId="13" xfId="4" applyFont="1" applyBorder="1" applyAlignment="1">
      <alignment horizontal="center" wrapText="1"/>
    </xf>
    <xf numFmtId="164" fontId="212" fillId="0" borderId="13" xfId="4" applyNumberFormat="1" applyFont="1" applyBorder="1" applyAlignment="1">
      <alignment horizontal="center"/>
    </xf>
    <xf numFmtId="184" fontId="212" fillId="0" borderId="13" xfId="4" applyNumberFormat="1" applyFont="1" applyBorder="1" applyAlignment="1">
      <alignment horizontal="center"/>
    </xf>
    <xf numFmtId="164" fontId="212" fillId="0" borderId="13" xfId="4" applyNumberFormat="1" applyFont="1" applyBorder="1" applyAlignment="1">
      <alignment horizontal="center" vertical="center"/>
    </xf>
    <xf numFmtId="184" fontId="212" fillId="0" borderId="13" xfId="4" applyNumberFormat="1" applyFont="1" applyBorder="1" applyAlignment="1">
      <alignment horizontal="center" vertical="center"/>
    </xf>
    <xf numFmtId="0" fontId="213" fillId="0" borderId="13" xfId="4" applyFont="1" applyFill="1" applyBorder="1" applyAlignment="1">
      <alignment horizontal="center" vertical="center" wrapText="1"/>
    </xf>
    <xf numFmtId="0" fontId="216" fillId="0" borderId="13" xfId="0" applyFont="1" applyFill="1" applyBorder="1" applyAlignment="1">
      <alignment horizontal="center" vertical="center"/>
    </xf>
    <xf numFmtId="0" fontId="214" fillId="0" borderId="13" xfId="0" applyFont="1" applyBorder="1" applyAlignment="1">
      <alignment horizontal="center" vertical="center"/>
    </xf>
    <xf numFmtId="0" fontId="214" fillId="0" borderId="13" xfId="5" applyFont="1" applyFill="1" applyBorder="1" applyAlignment="1">
      <alignment horizontal="center" vertical="center"/>
    </xf>
    <xf numFmtId="0" fontId="214" fillId="0" borderId="13" xfId="5" applyFont="1" applyFill="1" applyBorder="1" applyAlignment="1">
      <alignment horizontal="center" vertical="center" wrapText="1"/>
    </xf>
    <xf numFmtId="0" fontId="214" fillId="0" borderId="13" xfId="5" applyFont="1" applyBorder="1" applyAlignment="1">
      <alignment horizontal="center" vertical="center"/>
    </xf>
    <xf numFmtId="184" fontId="214" fillId="0" borderId="13" xfId="0" applyNumberFormat="1" applyFont="1" applyBorder="1" applyAlignment="1">
      <alignment horizontal="center" vertical="center"/>
    </xf>
    <xf numFmtId="0" fontId="0" fillId="0" borderId="48" xfId="0" applyBorder="1"/>
    <xf numFmtId="4" fontId="6" fillId="0" borderId="0" xfId="4" applyNumberFormat="1" applyFont="1" applyAlignment="1">
      <alignment horizontal="centerContinuous" vertical="center"/>
    </xf>
    <xf numFmtId="4" fontId="15" fillId="0" borderId="0" xfId="4" applyNumberFormat="1" applyFont="1" applyAlignment="1">
      <alignment horizontal="centerContinuous" vertical="center"/>
    </xf>
    <xf numFmtId="4" fontId="46" fillId="6" borderId="13" xfId="4" applyNumberFormat="1" applyFont="1" applyFill="1" applyBorder="1" applyAlignment="1">
      <alignment horizontal="center" vertical="center"/>
    </xf>
    <xf numFmtId="4" fontId="139" fillId="0" borderId="13" xfId="4" applyNumberFormat="1" applyFont="1" applyBorder="1" applyAlignment="1" applyProtection="1">
      <alignment horizontal="center" vertical="center" wrapText="1"/>
      <protection locked="0"/>
    </xf>
    <xf numFmtId="3" fontId="17" fillId="0" borderId="0" xfId="0" applyNumberFormat="1" applyFont="1" applyFill="1" applyBorder="1" applyAlignment="1">
      <alignment horizontal="left"/>
    </xf>
    <xf numFmtId="0" fontId="198" fillId="0" borderId="0" xfId="0" applyFont="1" applyFill="1" applyBorder="1" applyAlignment="1">
      <alignment horizontal="center" vertical="center"/>
    </xf>
    <xf numFmtId="0" fontId="191" fillId="0" borderId="13" xfId="0" applyFont="1" applyBorder="1"/>
    <xf numFmtId="0" fontId="17" fillId="0" borderId="21" xfId="4" applyFont="1" applyFill="1" applyBorder="1"/>
    <xf numFmtId="0" fontId="39" fillId="0" borderId="52" xfId="4" applyFont="1" applyBorder="1" applyAlignment="1">
      <alignment vertical="center" wrapText="1"/>
    </xf>
    <xf numFmtId="0" fontId="17" fillId="0" borderId="53" xfId="4" applyFont="1" applyFill="1" applyBorder="1"/>
    <xf numFmtId="0" fontId="197" fillId="0" borderId="52" xfId="0" applyFont="1" applyFill="1" applyBorder="1"/>
    <xf numFmtId="0" fontId="39" fillId="0" borderId="52" xfId="4" applyFont="1" applyFill="1" applyBorder="1"/>
    <xf numFmtId="0" fontId="55" fillId="0" borderId="52" xfId="4" applyFont="1" applyBorder="1" applyAlignment="1">
      <alignment vertical="center" wrapText="1"/>
    </xf>
    <xf numFmtId="0" fontId="39" fillId="0" borderId="48" xfId="4" applyFont="1" applyBorder="1" applyAlignment="1">
      <alignment vertical="center" wrapText="1"/>
    </xf>
    <xf numFmtId="0" fontId="197" fillId="0" borderId="57" xfId="0" applyFont="1" applyFill="1" applyBorder="1"/>
    <xf numFmtId="0" fontId="197" fillId="0" borderId="48" xfId="4" applyFont="1" applyBorder="1" applyAlignment="1">
      <alignment horizontal="center"/>
    </xf>
    <xf numFmtId="4" fontId="6" fillId="0" borderId="52" xfId="6" applyNumberFormat="1" applyFont="1" applyFill="1" applyBorder="1" applyAlignment="1" applyProtection="1">
      <alignment horizontal="center" vertical="center"/>
      <protection hidden="1"/>
    </xf>
    <xf numFmtId="0" fontId="58" fillId="0" borderId="0" xfId="4" applyFont="1" applyAlignment="1">
      <alignment horizontal="centerContinuous" vertical="center"/>
    </xf>
    <xf numFmtId="0" fontId="6" fillId="0" borderId="0" xfId="0" quotePrefix="1" applyFont="1" applyFill="1" applyProtection="1">
      <protection hidden="1"/>
    </xf>
    <xf numFmtId="0" fontId="0" fillId="0" borderId="53" xfId="0" applyBorder="1"/>
    <xf numFmtId="221" fontId="0" fillId="0" borderId="53" xfId="0" applyNumberFormat="1" applyFill="1" applyBorder="1" applyAlignment="1">
      <alignment vertical="center"/>
    </xf>
    <xf numFmtId="0" fontId="0" fillId="0" borderId="52" xfId="0" applyBorder="1"/>
    <xf numFmtId="221" fontId="0" fillId="0" borderId="52" xfId="0" applyNumberFormat="1" applyFill="1" applyBorder="1" applyAlignment="1">
      <alignment vertical="center"/>
    </xf>
    <xf numFmtId="222" fontId="0" fillId="0" borderId="48" xfId="0" applyNumberFormat="1" applyFill="1" applyBorder="1" applyAlignment="1">
      <alignment vertical="center"/>
    </xf>
    <xf numFmtId="0" fontId="217" fillId="0" borderId="53" xfId="0" applyFont="1" applyBorder="1" applyAlignment="1">
      <alignment horizontal="center"/>
    </xf>
    <xf numFmtId="1" fontId="217" fillId="0" borderId="53" xfId="0" applyNumberFormat="1" applyFont="1" applyBorder="1"/>
    <xf numFmtId="1" fontId="217" fillId="0" borderId="52" xfId="0" applyNumberFormat="1" applyFont="1" applyBorder="1"/>
    <xf numFmtId="1" fontId="217" fillId="0" borderId="48" xfId="0" applyNumberFormat="1" applyFont="1" applyBorder="1"/>
    <xf numFmtId="0" fontId="191" fillId="0" borderId="53" xfId="0" applyFont="1" applyFill="1" applyBorder="1" applyAlignment="1">
      <alignment horizontal="center" vertical="center" wrapText="1"/>
    </xf>
    <xf numFmtId="0" fontId="0" fillId="0" borderId="52" xfId="0" applyFill="1" applyBorder="1" applyAlignment="1">
      <alignment horizontal="center" vertical="center"/>
    </xf>
    <xf numFmtId="0" fontId="0" fillId="0" borderId="52" xfId="0" applyFill="1" applyBorder="1" applyAlignment="1">
      <alignment vertical="center"/>
    </xf>
    <xf numFmtId="2" fontId="0" fillId="0" borderId="52" xfId="0" applyNumberFormat="1" applyFill="1" applyBorder="1" applyAlignment="1">
      <alignment vertical="center"/>
    </xf>
    <xf numFmtId="1" fontId="0" fillId="0" borderId="52" xfId="0" applyNumberFormat="1" applyFill="1" applyBorder="1" applyAlignment="1">
      <alignment vertical="center"/>
    </xf>
    <xf numFmtId="0" fontId="191" fillId="0" borderId="21" xfId="0" applyFont="1" applyFill="1" applyBorder="1" applyAlignment="1">
      <alignment horizontal="center" vertical="center" wrapText="1"/>
    </xf>
    <xf numFmtId="0" fontId="0" fillId="0" borderId="20" xfId="0" applyFill="1" applyBorder="1" applyAlignment="1">
      <alignment horizontal="center" vertical="center"/>
    </xf>
    <xf numFmtId="0" fontId="197" fillId="0" borderId="3" xfId="7" applyFont="1" applyFill="1" applyBorder="1" applyAlignment="1">
      <alignment horizontal="center" vertical="center"/>
    </xf>
    <xf numFmtId="0" fontId="197" fillId="0" borderId="17" xfId="7" applyFont="1" applyFill="1" applyBorder="1" applyAlignment="1">
      <alignment horizontal="center" vertical="center"/>
    </xf>
    <xf numFmtId="172" fontId="197" fillId="0" borderId="3" xfId="8" applyNumberFormat="1" applyFont="1" applyFill="1" applyBorder="1" applyAlignment="1">
      <alignment horizontal="center" vertical="center"/>
    </xf>
    <xf numFmtId="172" fontId="197" fillId="0" borderId="17" xfId="8" applyNumberFormat="1" applyFont="1" applyFill="1" applyBorder="1" applyAlignment="1">
      <alignment horizontal="center" vertical="center"/>
    </xf>
    <xf numFmtId="9" fontId="197" fillId="0" borderId="3" xfId="8" applyNumberFormat="1" applyFont="1" applyFill="1" applyBorder="1" applyAlignment="1">
      <alignment horizontal="center" vertical="center"/>
    </xf>
    <xf numFmtId="9" fontId="197" fillId="0" borderId="17" xfId="8" applyNumberFormat="1" applyFont="1" applyFill="1" applyBorder="1" applyAlignment="1">
      <alignment horizontal="center" vertical="center"/>
    </xf>
    <xf numFmtId="0" fontId="197" fillId="0" borderId="2" xfId="7" applyFont="1" applyFill="1" applyBorder="1" applyAlignment="1">
      <alignment horizontal="center" vertical="center"/>
    </xf>
    <xf numFmtId="9" fontId="197" fillId="0" borderId="21" xfId="8" applyNumberFormat="1" applyFont="1" applyFill="1" applyBorder="1" applyAlignment="1">
      <alignment horizontal="center" vertical="center"/>
    </xf>
    <xf numFmtId="9" fontId="197" fillId="0" borderId="20" xfId="8" applyNumberFormat="1" applyFont="1" applyFill="1" applyBorder="1" applyAlignment="1">
      <alignment horizontal="center" vertical="center"/>
    </xf>
    <xf numFmtId="0" fontId="197" fillId="0" borderId="4" xfId="0" applyFont="1" applyFill="1" applyBorder="1" applyAlignment="1">
      <alignment horizontal="center" vertical="center"/>
    </xf>
    <xf numFmtId="0" fontId="6" fillId="0" borderId="21" xfId="7" applyFont="1" applyFill="1" applyBorder="1" applyAlignment="1">
      <alignment horizontal="center" vertical="center"/>
    </xf>
    <xf numFmtId="0" fontId="6" fillId="0" borderId="4" xfId="7" applyFont="1" applyFill="1" applyBorder="1" applyAlignment="1">
      <alignment horizontal="center" vertical="center"/>
    </xf>
    <xf numFmtId="0" fontId="6" fillId="0" borderId="21" xfId="7" applyFont="1" applyFill="1" applyBorder="1" applyAlignment="1">
      <alignment horizontal="center" vertical="center" wrapText="1"/>
    </xf>
    <xf numFmtId="0" fontId="6" fillId="0" borderId="4" xfId="7" applyFont="1" applyFill="1" applyBorder="1" applyAlignment="1">
      <alignment horizontal="center" vertical="center" wrapText="1"/>
    </xf>
    <xf numFmtId="3" fontId="23" fillId="0" borderId="0" xfId="4" applyNumberFormat="1" applyFont="1" applyFill="1" applyAlignment="1">
      <alignment horizontal="center" vertical="center"/>
    </xf>
    <xf numFmtId="0" fontId="6" fillId="0" borderId="0" xfId="4" applyFont="1" applyAlignment="1">
      <alignment horizontal="justify" vertical="center" wrapText="1"/>
    </xf>
    <xf numFmtId="0" fontId="0" fillId="0" borderId="0" xfId="0" applyAlignment="1">
      <alignment vertical="center" wrapText="1"/>
    </xf>
    <xf numFmtId="0" fontId="31" fillId="0" borderId="0" xfId="4" applyFont="1" applyAlignment="1">
      <alignment horizontal="center" vertical="center"/>
    </xf>
    <xf numFmtId="0" fontId="0" fillId="0" borderId="0" xfId="0" applyAlignment="1">
      <alignment horizontal="justify" vertical="center" wrapText="1"/>
    </xf>
    <xf numFmtId="3" fontId="23" fillId="0" borderId="0" xfId="4" applyNumberFormat="1" applyFont="1" applyFill="1" applyAlignment="1"/>
    <xf numFmtId="3" fontId="0" fillId="0" borderId="0" xfId="0" applyNumberFormat="1" applyAlignment="1"/>
    <xf numFmtId="49" fontId="61" fillId="6" borderId="21" xfId="4" applyNumberFormat="1" applyFont="1" applyFill="1" applyBorder="1" applyAlignment="1" applyProtection="1">
      <alignment horizontal="center" vertical="center" wrapText="1"/>
      <protection locked="0"/>
    </xf>
    <xf numFmtId="49" fontId="61" fillId="6" borderId="4" xfId="4" applyNumberFormat="1" applyFont="1" applyFill="1" applyBorder="1" applyAlignment="1" applyProtection="1">
      <alignment horizontal="center" vertical="center" wrapText="1"/>
      <protection locked="0"/>
    </xf>
    <xf numFmtId="0" fontId="61" fillId="6" borderId="21" xfId="4" applyFont="1" applyFill="1" applyBorder="1" applyAlignment="1" applyProtection="1">
      <alignment horizontal="center" vertical="center"/>
      <protection locked="0"/>
    </xf>
    <xf numFmtId="0" fontId="61" fillId="6" borderId="4" xfId="4" applyFont="1" applyFill="1" applyBorder="1" applyAlignment="1" applyProtection="1">
      <alignment horizontal="center" vertical="center"/>
      <protection locked="0"/>
    </xf>
    <xf numFmtId="0" fontId="61" fillId="6" borderId="21" xfId="4" applyFont="1" applyFill="1" applyBorder="1" applyAlignment="1" applyProtection="1">
      <alignment horizontal="center" vertical="center" wrapText="1"/>
      <protection locked="0"/>
    </xf>
    <xf numFmtId="0" fontId="61" fillId="6" borderId="4" xfId="4" applyFont="1" applyFill="1" applyBorder="1" applyAlignment="1" applyProtection="1">
      <alignment horizontal="center" vertical="center" wrapText="1"/>
      <protection locked="0"/>
    </xf>
    <xf numFmtId="49" fontId="145" fillId="6" borderId="21" xfId="4" applyNumberFormat="1" applyFont="1" applyFill="1" applyBorder="1" applyAlignment="1" applyProtection="1">
      <alignment horizontal="center" vertical="center" wrapText="1"/>
      <protection locked="0"/>
    </xf>
    <xf numFmtId="49" fontId="145" fillId="6" borderId="4" xfId="4" applyNumberFormat="1" applyFont="1" applyFill="1" applyBorder="1" applyAlignment="1" applyProtection="1">
      <alignment horizontal="center" vertical="center" wrapText="1"/>
      <protection locked="0"/>
    </xf>
    <xf numFmtId="0" fontId="191" fillId="9" borderId="1" xfId="0" applyFont="1" applyFill="1" applyBorder="1" applyAlignment="1">
      <alignment horizontal="center" vertical="center" wrapText="1"/>
    </xf>
    <xf numFmtId="0" fontId="191" fillId="9" borderId="15" xfId="0" applyFont="1" applyFill="1" applyBorder="1" applyAlignment="1">
      <alignment horizontal="center" vertical="center" wrapText="1"/>
    </xf>
    <xf numFmtId="0" fontId="191" fillId="9" borderId="21" xfId="0" applyFont="1" applyFill="1" applyBorder="1" applyAlignment="1">
      <alignment horizontal="center" vertical="center" wrapText="1"/>
    </xf>
    <xf numFmtId="0" fontId="191" fillId="9" borderId="4" xfId="0" applyFont="1" applyFill="1" applyBorder="1" applyAlignment="1">
      <alignment horizontal="center" vertical="center" wrapText="1"/>
    </xf>
    <xf numFmtId="164" fontId="64" fillId="9" borderId="21" xfId="4" applyNumberFormat="1" applyFont="1" applyFill="1" applyBorder="1" applyAlignment="1">
      <alignment horizontal="center" vertical="center" wrapText="1"/>
    </xf>
    <xf numFmtId="164" fontId="64" fillId="9" borderId="4" xfId="4" applyNumberFormat="1" applyFont="1" applyFill="1" applyBorder="1" applyAlignment="1">
      <alignment horizontal="center" vertical="center" wrapText="1"/>
    </xf>
    <xf numFmtId="0" fontId="64" fillId="9" borderId="21" xfId="4" applyFont="1" applyFill="1" applyBorder="1" applyAlignment="1">
      <alignment horizontal="center" vertical="center" wrapText="1"/>
    </xf>
    <xf numFmtId="0" fontId="64" fillId="9" borderId="4" xfId="4" applyFont="1" applyFill="1" applyBorder="1" applyAlignment="1">
      <alignment horizontal="center" vertical="center" wrapText="1"/>
    </xf>
    <xf numFmtId="0" fontId="64" fillId="9" borderId="21" xfId="4" applyNumberFormat="1" applyFont="1" applyFill="1" applyBorder="1" applyAlignment="1">
      <alignment horizontal="center" vertical="center" wrapText="1"/>
    </xf>
    <xf numFmtId="0" fontId="37" fillId="9" borderId="4" xfId="0" applyNumberFormat="1" applyFont="1" applyFill="1" applyBorder="1" applyAlignment="1">
      <alignment horizontal="center" vertical="center" wrapText="1"/>
    </xf>
    <xf numFmtId="0" fontId="66" fillId="9" borderId="21" xfId="4" applyFont="1" applyFill="1" applyBorder="1" applyAlignment="1">
      <alignment horizontal="center" vertical="center" wrapText="1"/>
    </xf>
    <xf numFmtId="0" fontId="66" fillId="9" borderId="4" xfId="4" applyFont="1" applyFill="1" applyBorder="1" applyAlignment="1">
      <alignment horizontal="center" vertical="center" wrapText="1"/>
    </xf>
    <xf numFmtId="3" fontId="64" fillId="9" borderId="21" xfId="4" applyNumberFormat="1" applyFont="1" applyFill="1" applyBorder="1" applyAlignment="1">
      <alignment horizontal="center" vertical="center" wrapText="1"/>
    </xf>
    <xf numFmtId="3" fontId="64" fillId="9" borderId="4" xfId="4" applyNumberFormat="1" applyFont="1" applyFill="1" applyBorder="1" applyAlignment="1">
      <alignment horizontal="center" vertical="center" wrapText="1"/>
    </xf>
    <xf numFmtId="188" fontId="6" fillId="0" borderId="0" xfId="5" applyNumberFormat="1" applyFont="1" applyFill="1" applyBorder="1" applyAlignment="1">
      <alignment horizontal="right" vertical="center"/>
    </xf>
    <xf numFmtId="184" fontId="46" fillId="9" borderId="21" xfId="5" applyNumberFormat="1" applyFont="1" applyFill="1" applyBorder="1" applyAlignment="1">
      <alignment horizontal="center" vertical="center" wrapText="1"/>
    </xf>
    <xf numFmtId="184" fontId="46" fillId="9" borderId="20" xfId="5" applyNumberFormat="1" applyFont="1" applyFill="1" applyBorder="1" applyAlignment="1">
      <alignment horizontal="center" vertical="center" wrapText="1"/>
    </xf>
    <xf numFmtId="0" fontId="71" fillId="9" borderId="4" xfId="5" applyFont="1" applyFill="1" applyBorder="1" applyAlignment="1">
      <alignment vertical="center"/>
    </xf>
    <xf numFmtId="184" fontId="46" fillId="9" borderId="26" xfId="5" applyNumberFormat="1" applyFont="1" applyFill="1" applyBorder="1" applyAlignment="1">
      <alignment horizontal="center" vertical="center" wrapText="1"/>
    </xf>
    <xf numFmtId="184" fontId="46" fillId="9" borderId="19" xfId="5" applyNumberFormat="1" applyFont="1" applyFill="1" applyBorder="1" applyAlignment="1">
      <alignment horizontal="center" vertical="center" wrapText="1"/>
    </xf>
    <xf numFmtId="0" fontId="71" fillId="9" borderId="29" xfId="5" applyFont="1" applyFill="1" applyBorder="1" applyAlignment="1">
      <alignment vertical="center"/>
    </xf>
    <xf numFmtId="184" fontId="61" fillId="9" borderId="26" xfId="5" applyNumberFormat="1" applyFont="1" applyFill="1" applyBorder="1" applyAlignment="1">
      <alignment horizontal="center" vertical="center" wrapText="1"/>
    </xf>
    <xf numFmtId="184" fontId="61" fillId="9" borderId="19" xfId="5" applyNumberFormat="1" applyFont="1" applyFill="1" applyBorder="1" applyAlignment="1">
      <alignment horizontal="center" vertical="center" wrapText="1"/>
    </xf>
    <xf numFmtId="0" fontId="124" fillId="9" borderId="29" xfId="5" applyFont="1" applyFill="1" applyBorder="1" applyAlignment="1">
      <alignment vertical="center"/>
    </xf>
    <xf numFmtId="0" fontId="46" fillId="9" borderId="26" xfId="3" applyFont="1" applyFill="1" applyBorder="1" applyAlignment="1" applyProtection="1">
      <alignment horizontal="center" vertical="center" wrapText="1"/>
      <protection locked="0"/>
    </xf>
    <xf numFmtId="0" fontId="46" fillId="9" borderId="28" xfId="3" applyFont="1" applyFill="1" applyBorder="1" applyAlignment="1" applyProtection="1">
      <alignment horizontal="center" vertical="center" wrapText="1"/>
      <protection locked="0"/>
    </xf>
    <xf numFmtId="0" fontId="0" fillId="9" borderId="29" xfId="0" applyFill="1" applyBorder="1" applyAlignment="1">
      <alignment vertical="center"/>
    </xf>
    <xf numFmtId="0" fontId="0" fillId="9" borderId="31" xfId="0" applyFill="1" applyBorder="1" applyAlignment="1">
      <alignment vertical="center"/>
    </xf>
    <xf numFmtId="164" fontId="115" fillId="9" borderId="13" xfId="3" applyNumberFormat="1" applyFont="1" applyFill="1" applyBorder="1" applyAlignment="1" applyProtection="1">
      <alignment horizontal="center" vertical="center" wrapText="1"/>
      <protection locked="0"/>
    </xf>
    <xf numFmtId="184" fontId="61" fillId="9" borderId="13" xfId="3" applyNumberFormat="1" applyFont="1" applyFill="1" applyBorder="1" applyAlignment="1" applyProtection="1">
      <alignment horizontal="center" vertical="center" wrapText="1"/>
      <protection locked="0"/>
    </xf>
    <xf numFmtId="184" fontId="61" fillId="9" borderId="1" xfId="3" applyNumberFormat="1" applyFont="1" applyFill="1" applyBorder="1" applyAlignment="1" applyProtection="1">
      <alignment horizontal="center" vertical="center" wrapText="1"/>
      <protection locked="0"/>
    </xf>
    <xf numFmtId="0" fontId="0" fillId="9" borderId="14" xfId="0" applyFill="1" applyBorder="1" applyAlignment="1">
      <alignment horizontal="center" vertical="center" wrapText="1"/>
    </xf>
    <xf numFmtId="0" fontId="0" fillId="9" borderId="15" xfId="0" applyFill="1" applyBorder="1" applyAlignment="1">
      <alignment horizontal="center" vertical="center" wrapText="1"/>
    </xf>
    <xf numFmtId="184" fontId="119" fillId="9" borderId="21" xfId="3" applyNumberFormat="1" applyFont="1" applyFill="1" applyBorder="1" applyAlignment="1" applyProtection="1">
      <alignment horizontal="center" vertical="center" wrapText="1"/>
      <protection locked="0"/>
    </xf>
    <xf numFmtId="184" fontId="119" fillId="9" borderId="4" xfId="3" applyNumberFormat="1" applyFont="1" applyFill="1" applyBorder="1" applyAlignment="1" applyProtection="1">
      <alignment horizontal="center" vertical="center" wrapText="1"/>
      <protection locked="0"/>
    </xf>
    <xf numFmtId="0" fontId="46" fillId="9" borderId="21" xfId="3" applyFont="1" applyFill="1" applyBorder="1" applyAlignment="1" applyProtection="1">
      <alignment horizontal="center" vertical="center" wrapText="1"/>
      <protection locked="0"/>
    </xf>
    <xf numFmtId="0" fontId="46" fillId="9" borderId="4" xfId="3" applyFont="1" applyFill="1" applyBorder="1" applyAlignment="1" applyProtection="1">
      <alignment horizontal="center" vertical="center" wrapText="1"/>
      <protection locked="0"/>
    </xf>
    <xf numFmtId="2" fontId="46" fillId="9" borderId="1" xfId="3" applyNumberFormat="1" applyFont="1" applyFill="1" applyBorder="1" applyAlignment="1" applyProtection="1">
      <alignment horizontal="center" vertical="center" wrapText="1"/>
      <protection locked="0"/>
    </xf>
    <xf numFmtId="0" fontId="112" fillId="9" borderId="14" xfId="0" applyFont="1" applyFill="1" applyBorder="1" applyAlignment="1">
      <alignment horizontal="center" vertical="center" wrapText="1"/>
    </xf>
    <xf numFmtId="0" fontId="112" fillId="9" borderId="15" xfId="0" applyFont="1" applyFill="1" applyBorder="1" applyAlignment="1">
      <alignment horizontal="center" vertical="center" wrapText="1"/>
    </xf>
    <xf numFmtId="184" fontId="114" fillId="9" borderId="13" xfId="3" applyNumberFormat="1" applyFont="1" applyFill="1" applyBorder="1" applyAlignment="1" applyProtection="1">
      <alignment horizontal="center" vertical="center" wrapText="1"/>
      <protection locked="0"/>
    </xf>
    <xf numFmtId="184" fontId="46" fillId="9" borderId="21" xfId="3" applyNumberFormat="1" applyFont="1" applyFill="1" applyBorder="1" applyAlignment="1" applyProtection="1">
      <alignment horizontal="center" vertical="center" wrapText="1"/>
      <protection locked="0"/>
    </xf>
    <xf numFmtId="184" fontId="46" fillId="9" borderId="4" xfId="3" applyNumberFormat="1" applyFont="1" applyFill="1" applyBorder="1" applyAlignment="1" applyProtection="1">
      <alignment horizontal="center" vertical="center" wrapText="1"/>
      <protection locked="0"/>
    </xf>
    <xf numFmtId="184" fontId="117" fillId="9" borderId="21" xfId="3" applyNumberFormat="1" applyFont="1" applyFill="1" applyBorder="1" applyAlignment="1" applyProtection="1">
      <alignment horizontal="center" vertical="center" wrapText="1"/>
      <protection locked="0"/>
    </xf>
    <xf numFmtId="184" fontId="117" fillId="9" borderId="4" xfId="3" applyNumberFormat="1" applyFont="1" applyFill="1" applyBorder="1" applyAlignment="1" applyProtection="1">
      <alignment horizontal="center" vertical="center" wrapText="1"/>
      <protection locked="0"/>
    </xf>
    <xf numFmtId="184" fontId="115" fillId="9" borderId="21" xfId="3" applyNumberFormat="1" applyFont="1" applyFill="1" applyBorder="1" applyAlignment="1" applyProtection="1">
      <alignment horizontal="center" vertical="center" wrapText="1"/>
      <protection locked="0"/>
    </xf>
    <xf numFmtId="184" fontId="115" fillId="9" borderId="4" xfId="3" applyNumberFormat="1" applyFont="1" applyFill="1" applyBorder="1" applyAlignment="1" applyProtection="1">
      <alignment horizontal="center" vertical="center" wrapText="1"/>
      <protection locked="0"/>
    </xf>
    <xf numFmtId="184" fontId="115" fillId="9" borderId="13" xfId="3" applyNumberFormat="1" applyFont="1" applyFill="1" applyBorder="1" applyAlignment="1" applyProtection="1">
      <alignment horizontal="center" vertical="center" wrapText="1"/>
      <protection locked="0"/>
    </xf>
    <xf numFmtId="184" fontId="46" fillId="9" borderId="21" xfId="3" applyNumberFormat="1" applyFont="1" applyFill="1" applyBorder="1" applyAlignment="1">
      <alignment horizontal="center" vertical="center" wrapText="1"/>
    </xf>
    <xf numFmtId="184" fontId="46" fillId="9" borderId="4" xfId="3" applyNumberFormat="1" applyFont="1" applyFill="1" applyBorder="1" applyAlignment="1">
      <alignment horizontal="center" vertical="center" wrapText="1"/>
    </xf>
    <xf numFmtId="0" fontId="46" fillId="6" borderId="21" xfId="3" applyFont="1" applyFill="1" applyBorder="1" applyAlignment="1" applyProtection="1">
      <alignment horizontal="center" vertical="center" wrapText="1"/>
      <protection locked="0"/>
    </xf>
    <xf numFmtId="0" fontId="46" fillId="6" borderId="4" xfId="3" applyFont="1" applyFill="1" applyBorder="1" applyAlignment="1" applyProtection="1">
      <alignment horizontal="center" vertical="center" wrapText="1"/>
      <protection locked="0"/>
    </xf>
    <xf numFmtId="49" fontId="46" fillId="6" borderId="15" xfId="4" applyNumberFormat="1" applyFont="1" applyFill="1" applyBorder="1" applyAlignment="1">
      <alignment horizontal="center" vertical="center" wrapText="1"/>
    </xf>
    <xf numFmtId="49" fontId="46" fillId="6" borderId="13" xfId="4" applyNumberFormat="1" applyFont="1" applyFill="1" applyBorder="1" applyAlignment="1">
      <alignment horizontal="center" vertical="center" wrapText="1"/>
    </xf>
    <xf numFmtId="49" fontId="46" fillId="0" borderId="15" xfId="4" applyNumberFormat="1" applyFont="1" applyFill="1" applyBorder="1" applyAlignment="1">
      <alignment horizontal="center" vertical="center" wrapText="1"/>
    </xf>
    <xf numFmtId="49" fontId="46" fillId="0" borderId="13" xfId="4" applyNumberFormat="1" applyFont="1" applyFill="1" applyBorder="1" applyAlignment="1">
      <alignment horizontal="center" vertical="center" wrapText="1"/>
    </xf>
    <xf numFmtId="164" fontId="80" fillId="6" borderId="21" xfId="0" applyNumberFormat="1" applyFont="1" applyFill="1" applyBorder="1" applyAlignment="1">
      <alignment horizontal="center" vertical="center"/>
    </xf>
    <xf numFmtId="164" fontId="80" fillId="6" borderId="4" xfId="0" applyNumberFormat="1" applyFont="1" applyFill="1" applyBorder="1" applyAlignment="1">
      <alignment horizontal="center" vertical="center"/>
    </xf>
    <xf numFmtId="164" fontId="80" fillId="6" borderId="13" xfId="0" applyNumberFormat="1" applyFont="1" applyFill="1" applyBorder="1" applyAlignment="1">
      <alignment horizontal="center" vertical="center"/>
    </xf>
    <xf numFmtId="0" fontId="80" fillId="6" borderId="21" xfId="0" applyFont="1" applyFill="1" applyBorder="1" applyAlignment="1">
      <alignment horizontal="center" vertical="center"/>
    </xf>
    <xf numFmtId="0" fontId="80" fillId="6" borderId="4" xfId="0" applyFont="1" applyFill="1" applyBorder="1" applyAlignment="1">
      <alignment horizontal="center" vertical="center"/>
    </xf>
    <xf numFmtId="49" fontId="80" fillId="6" borderId="21" xfId="0" applyNumberFormat="1" applyFont="1" applyFill="1" applyBorder="1" applyAlignment="1">
      <alignment horizontal="center" vertical="center" wrapText="1"/>
    </xf>
    <xf numFmtId="49" fontId="80" fillId="6" borderId="4" xfId="0" applyNumberFormat="1" applyFont="1" applyFill="1" applyBorder="1" applyAlignment="1">
      <alignment horizontal="center" vertical="center" wrapText="1"/>
    </xf>
    <xf numFmtId="0" fontId="80" fillId="6" borderId="21" xfId="0" applyFont="1" applyFill="1" applyBorder="1" applyAlignment="1">
      <alignment horizontal="center" vertical="center" wrapText="1"/>
    </xf>
    <xf numFmtId="0" fontId="80" fillId="6" borderId="4" xfId="0" applyFont="1" applyFill="1" applyBorder="1" applyAlignment="1">
      <alignment horizontal="center" vertical="center" wrapText="1"/>
    </xf>
    <xf numFmtId="177" fontId="6" fillId="7" borderId="1" xfId="1" applyNumberFormat="1" applyFont="1" applyFill="1" applyBorder="1" applyAlignment="1" applyProtection="1">
      <alignment horizontal="left" vertical="center"/>
      <protection locked="0"/>
    </xf>
    <xf numFmtId="177" fontId="6" fillId="7" borderId="15" xfId="1" applyNumberFormat="1" applyFont="1" applyFill="1" applyBorder="1" applyAlignment="1" applyProtection="1">
      <alignment horizontal="left" vertical="center"/>
      <protection locked="0"/>
    </xf>
    <xf numFmtId="177" fontId="6" fillId="0" borderId="0" xfId="0" applyNumberFormat="1" applyFont="1" applyFill="1" applyAlignment="1">
      <alignment horizontal="left"/>
    </xf>
    <xf numFmtId="0" fontId="17" fillId="0" borderId="1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7"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7" xfId="0" applyFont="1" applyFill="1" applyBorder="1" applyAlignment="1">
      <alignment horizontal="center" vertical="center"/>
    </xf>
    <xf numFmtId="0" fontId="6" fillId="0" borderId="0" xfId="0" applyFont="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xf>
    <xf numFmtId="177" fontId="17" fillId="0" borderId="34" xfId="0" applyNumberFormat="1" applyFont="1" applyFill="1" applyBorder="1" applyAlignment="1" applyProtection="1">
      <alignment horizontal="center" vertical="center"/>
      <protection locked="0"/>
    </xf>
    <xf numFmtId="177" fontId="17" fillId="0" borderId="35" xfId="0" applyNumberFormat="1" applyFont="1" applyFill="1" applyBorder="1" applyAlignment="1" applyProtection="1">
      <alignment horizontal="center" vertical="center"/>
      <protection locked="0"/>
    </xf>
    <xf numFmtId="177" fontId="17" fillId="0" borderId="22" xfId="0" applyNumberFormat="1" applyFont="1" applyFill="1" applyBorder="1" applyAlignment="1" applyProtection="1">
      <alignment horizontal="center" vertical="center"/>
      <protection locked="0"/>
    </xf>
    <xf numFmtId="177" fontId="17" fillId="0" borderId="23" xfId="0" applyNumberFormat="1" applyFont="1" applyFill="1" applyBorder="1" applyAlignment="1" applyProtection="1">
      <alignment horizontal="center" vertical="center"/>
      <protection locked="0"/>
    </xf>
    <xf numFmtId="49" fontId="6" fillId="0" borderId="13" xfId="0" applyNumberFormat="1" applyFont="1" applyBorder="1" applyAlignment="1">
      <alignment horizontal="center" vertical="center"/>
    </xf>
    <xf numFmtId="177" fontId="17" fillId="0" borderId="51" xfId="0" applyNumberFormat="1" applyFont="1" applyFill="1" applyBorder="1" applyAlignment="1" applyProtection="1">
      <alignment horizontal="center" vertical="center"/>
      <protection locked="0"/>
    </xf>
    <xf numFmtId="177" fontId="17" fillId="0" borderId="50" xfId="0" applyNumberFormat="1" applyFont="1" applyFill="1" applyBorder="1" applyAlignment="1" applyProtection="1">
      <alignment horizontal="center" vertical="center"/>
      <protection locked="0"/>
    </xf>
    <xf numFmtId="49" fontId="61" fillId="11" borderId="21" xfId="4" applyNumberFormat="1" applyFont="1" applyFill="1" applyBorder="1" applyAlignment="1" applyProtection="1">
      <alignment horizontal="center" vertical="center" wrapText="1"/>
      <protection locked="0"/>
    </xf>
    <xf numFmtId="49" fontId="61" fillId="11" borderId="4" xfId="4" applyNumberFormat="1" applyFont="1" applyFill="1" applyBorder="1" applyAlignment="1" applyProtection="1">
      <alignment horizontal="center" vertical="center" wrapText="1"/>
      <protection locked="0"/>
    </xf>
    <xf numFmtId="0" fontId="61" fillId="12" borderId="21" xfId="4" applyFont="1" applyFill="1" applyBorder="1" applyAlignment="1" applyProtection="1">
      <alignment horizontal="center" vertical="center"/>
      <protection locked="0"/>
    </xf>
    <xf numFmtId="0" fontId="61" fillId="12" borderId="4" xfId="4" applyFont="1" applyFill="1" applyBorder="1" applyAlignment="1" applyProtection="1">
      <alignment horizontal="center" vertical="center"/>
      <protection locked="0"/>
    </xf>
    <xf numFmtId="49" fontId="61" fillId="12" borderId="21" xfId="4" applyNumberFormat="1" applyFont="1" applyFill="1" applyBorder="1" applyAlignment="1" applyProtection="1">
      <alignment horizontal="center" vertical="center" wrapText="1"/>
      <protection locked="0"/>
    </xf>
    <xf numFmtId="49" fontId="61" fillId="12" borderId="4" xfId="4" applyNumberFormat="1" applyFont="1" applyFill="1" applyBorder="1" applyAlignment="1" applyProtection="1">
      <alignment horizontal="center" vertical="center" wrapText="1"/>
      <protection locked="0"/>
    </xf>
    <xf numFmtId="0" fontId="61" fillId="12" borderId="21" xfId="4" applyFont="1" applyFill="1" applyBorder="1" applyAlignment="1" applyProtection="1">
      <alignment horizontal="center" vertical="center" wrapText="1"/>
      <protection locked="0"/>
    </xf>
    <xf numFmtId="0" fontId="61" fillId="12" borderId="4" xfId="4" applyFont="1" applyFill="1" applyBorder="1" applyAlignment="1" applyProtection="1">
      <alignment horizontal="center" vertical="center" wrapText="1"/>
      <protection locked="0"/>
    </xf>
    <xf numFmtId="164" fontId="64" fillId="12" borderId="21" xfId="4" applyNumberFormat="1" applyFont="1" applyFill="1" applyBorder="1" applyAlignment="1">
      <alignment horizontal="center" vertical="center" wrapText="1"/>
    </xf>
    <xf numFmtId="164" fontId="64" fillId="12" borderId="4" xfId="4" applyNumberFormat="1" applyFont="1" applyFill="1" applyBorder="1" applyAlignment="1">
      <alignment horizontal="center" vertical="center" wrapText="1"/>
    </xf>
    <xf numFmtId="0" fontId="64" fillId="12" borderId="21" xfId="4" applyFont="1" applyFill="1" applyBorder="1" applyAlignment="1">
      <alignment horizontal="center" vertical="center" wrapText="1"/>
    </xf>
    <xf numFmtId="0" fontId="64" fillId="12" borderId="4" xfId="4" applyFont="1" applyFill="1" applyBorder="1" applyAlignment="1">
      <alignment horizontal="center" vertical="center" wrapText="1"/>
    </xf>
    <xf numFmtId="0" fontId="64" fillId="12" borderId="21" xfId="4" applyNumberFormat="1" applyFont="1" applyFill="1" applyBorder="1" applyAlignment="1">
      <alignment horizontal="center" vertical="center" wrapText="1"/>
    </xf>
    <xf numFmtId="0" fontId="37" fillId="12" borderId="4" xfId="0" applyNumberFormat="1" applyFont="1" applyFill="1" applyBorder="1" applyAlignment="1">
      <alignment horizontal="center" vertical="center" wrapText="1"/>
    </xf>
    <xf numFmtId="3" fontId="64" fillId="12" borderId="21" xfId="4" applyNumberFormat="1" applyFont="1" applyFill="1" applyBorder="1" applyAlignment="1">
      <alignment horizontal="center" vertical="center" wrapText="1"/>
    </xf>
    <xf numFmtId="3" fontId="64" fillId="12" borderId="4" xfId="4" applyNumberFormat="1" applyFont="1" applyFill="1" applyBorder="1" applyAlignment="1">
      <alignment horizontal="center" vertical="center" wrapText="1"/>
    </xf>
    <xf numFmtId="184" fontId="46" fillId="12" borderId="21" xfId="5" applyNumberFormat="1" applyFont="1" applyFill="1" applyBorder="1" applyAlignment="1">
      <alignment horizontal="center" vertical="center" wrapText="1"/>
    </xf>
    <xf numFmtId="184" fontId="46" fillId="12" borderId="20" xfId="5" applyNumberFormat="1" applyFont="1" applyFill="1" applyBorder="1" applyAlignment="1">
      <alignment horizontal="center" vertical="center" wrapText="1"/>
    </xf>
    <xf numFmtId="0" fontId="71" fillId="12" borderId="4" xfId="5" applyFont="1" applyFill="1" applyBorder="1" applyAlignment="1">
      <alignment vertical="center"/>
    </xf>
    <xf numFmtId="184" fontId="46" fillId="12" borderId="26" xfId="5" applyNumberFormat="1" applyFont="1" applyFill="1" applyBorder="1" applyAlignment="1">
      <alignment horizontal="center" vertical="center" wrapText="1"/>
    </xf>
    <xf numFmtId="184" fontId="46" fillId="12" borderId="19" xfId="5" applyNumberFormat="1" applyFont="1" applyFill="1" applyBorder="1" applyAlignment="1">
      <alignment horizontal="center" vertical="center" wrapText="1"/>
    </xf>
    <xf numFmtId="0" fontId="71" fillId="12" borderId="29" xfId="5" applyFont="1" applyFill="1" applyBorder="1" applyAlignment="1">
      <alignment vertical="center"/>
    </xf>
    <xf numFmtId="164" fontId="117" fillId="11" borderId="21" xfId="3" applyNumberFormat="1" applyFont="1" applyFill="1" applyBorder="1" applyAlignment="1" applyProtection="1">
      <alignment horizontal="center" vertical="center" wrapText="1"/>
      <protection locked="0"/>
    </xf>
    <xf numFmtId="164" fontId="117" fillId="11" borderId="4" xfId="3" applyNumberFormat="1" applyFont="1" applyFill="1" applyBorder="1" applyAlignment="1" applyProtection="1">
      <alignment horizontal="center" vertical="center" wrapText="1"/>
      <protection locked="0"/>
    </xf>
    <xf numFmtId="184" fontId="119" fillId="11" borderId="21" xfId="3" applyNumberFormat="1" applyFont="1" applyFill="1" applyBorder="1" applyAlignment="1" applyProtection="1">
      <alignment horizontal="center" vertical="center" wrapText="1"/>
      <protection locked="0"/>
    </xf>
    <xf numFmtId="184" fontId="119" fillId="11" borderId="4" xfId="3" applyNumberFormat="1" applyFont="1" applyFill="1" applyBorder="1" applyAlignment="1" applyProtection="1">
      <alignment horizontal="center" vertical="center" wrapText="1"/>
      <protection locked="0"/>
    </xf>
    <xf numFmtId="184" fontId="46" fillId="11" borderId="21" xfId="3" applyNumberFormat="1" applyFont="1" applyFill="1" applyBorder="1" applyAlignment="1" applyProtection="1">
      <alignment horizontal="center" vertical="center" wrapText="1"/>
      <protection locked="0"/>
    </xf>
    <xf numFmtId="184" fontId="46" fillId="11" borderId="4" xfId="3" applyNumberFormat="1" applyFont="1" applyFill="1" applyBorder="1" applyAlignment="1" applyProtection="1">
      <alignment horizontal="center" vertical="center" wrapText="1"/>
      <protection locked="0"/>
    </xf>
    <xf numFmtId="184" fontId="61" fillId="11" borderId="1" xfId="3" applyNumberFormat="1" applyFont="1" applyFill="1" applyBorder="1" applyAlignment="1" applyProtection="1">
      <alignment horizontal="center" vertical="center" wrapText="1"/>
      <protection locked="0"/>
    </xf>
    <xf numFmtId="184" fontId="61" fillId="11" borderId="14" xfId="3" applyNumberFormat="1" applyFont="1" applyFill="1" applyBorder="1" applyAlignment="1" applyProtection="1">
      <alignment horizontal="center" vertical="center" wrapText="1"/>
      <protection locked="0"/>
    </xf>
    <xf numFmtId="184" fontId="61" fillId="11" borderId="15" xfId="3" applyNumberFormat="1" applyFont="1" applyFill="1" applyBorder="1" applyAlignment="1" applyProtection="1">
      <alignment horizontal="center" vertical="center" wrapText="1"/>
      <protection locked="0"/>
    </xf>
    <xf numFmtId="3" fontId="61" fillId="11" borderId="21" xfId="3" applyNumberFormat="1" applyFont="1" applyFill="1" applyBorder="1" applyAlignment="1" applyProtection="1">
      <alignment horizontal="center" vertical="center" wrapText="1"/>
      <protection locked="0"/>
    </xf>
    <xf numFmtId="3" fontId="61" fillId="11" borderId="4" xfId="3" applyNumberFormat="1" applyFont="1" applyFill="1" applyBorder="1" applyAlignment="1" applyProtection="1">
      <alignment horizontal="center" vertical="center" wrapText="1"/>
      <protection locked="0"/>
    </xf>
    <xf numFmtId="3" fontId="46" fillId="12" borderId="21" xfId="3" applyNumberFormat="1" applyFont="1" applyFill="1" applyBorder="1" applyAlignment="1" applyProtection="1">
      <alignment horizontal="center" vertical="center" wrapText="1"/>
      <protection locked="0"/>
    </xf>
    <xf numFmtId="3" fontId="46" fillId="12" borderId="4" xfId="3" applyNumberFormat="1" applyFont="1" applyFill="1" applyBorder="1" applyAlignment="1" applyProtection="1">
      <alignment horizontal="center" vertical="center" wrapText="1"/>
      <protection locked="0"/>
    </xf>
    <xf numFmtId="2" fontId="46" fillId="12" borderId="1" xfId="3" applyNumberFormat="1" applyFont="1" applyFill="1" applyBorder="1" applyAlignment="1" applyProtection="1">
      <alignment horizontal="center" vertical="center" wrapText="1"/>
      <protection locked="0"/>
    </xf>
    <xf numFmtId="0" fontId="143" fillId="12" borderId="14" xfId="0" applyFont="1" applyFill="1" applyBorder="1" applyAlignment="1">
      <alignment horizontal="center" vertical="center" wrapText="1"/>
    </xf>
    <xf numFmtId="0" fontId="143" fillId="12" borderId="15" xfId="0" applyFont="1" applyFill="1" applyBorder="1" applyAlignment="1">
      <alignment horizontal="center" vertical="center" wrapText="1"/>
    </xf>
    <xf numFmtId="0" fontId="46" fillId="12" borderId="26" xfId="3" applyFont="1" applyFill="1" applyBorder="1" applyAlignment="1" applyProtection="1">
      <alignment horizontal="center" vertical="center" wrapText="1"/>
      <protection locked="0"/>
    </xf>
    <xf numFmtId="0" fontId="46" fillId="12" borderId="28" xfId="3" applyFont="1" applyFill="1" applyBorder="1" applyAlignment="1" applyProtection="1">
      <alignment horizontal="center" vertical="center" wrapText="1"/>
      <protection locked="0"/>
    </xf>
    <xf numFmtId="0" fontId="144" fillId="12" borderId="29" xfId="0" applyFont="1" applyFill="1" applyBorder="1" applyAlignment="1">
      <alignment vertical="center"/>
    </xf>
    <xf numFmtId="0" fontId="144" fillId="12" borderId="31" xfId="0" applyFont="1" applyFill="1" applyBorder="1" applyAlignment="1">
      <alignment vertical="center"/>
    </xf>
    <xf numFmtId="0" fontId="46" fillId="12" borderId="21" xfId="3" applyFont="1" applyFill="1" applyBorder="1" applyAlignment="1" applyProtection="1">
      <alignment horizontal="center" vertical="center" wrapText="1"/>
      <protection locked="0"/>
    </xf>
    <xf numFmtId="0" fontId="46" fillId="12" borderId="4" xfId="3" applyFont="1" applyFill="1" applyBorder="1" applyAlignment="1" applyProtection="1">
      <alignment horizontal="center" vertical="center" wrapText="1"/>
      <protection locked="0"/>
    </xf>
    <xf numFmtId="164" fontId="79" fillId="12" borderId="21" xfId="0" applyNumberFormat="1" applyFont="1" applyFill="1" applyBorder="1" applyAlignment="1">
      <alignment horizontal="center" vertical="center"/>
    </xf>
    <xf numFmtId="164" fontId="79" fillId="12" borderId="4" xfId="0" applyNumberFormat="1" applyFont="1" applyFill="1" applyBorder="1" applyAlignment="1">
      <alignment horizontal="center" vertical="center"/>
    </xf>
    <xf numFmtId="164" fontId="79" fillId="12" borderId="13" xfId="0" applyNumberFormat="1" applyFont="1" applyFill="1" applyBorder="1" applyAlignment="1">
      <alignment horizontal="center" vertical="center"/>
    </xf>
    <xf numFmtId="0" fontId="79" fillId="12" borderId="21" xfId="0" applyFont="1" applyFill="1" applyBorder="1" applyAlignment="1">
      <alignment horizontal="center" vertical="center"/>
    </xf>
    <xf numFmtId="0" fontId="79" fillId="12" borderId="4" xfId="0" applyFont="1" applyFill="1" applyBorder="1" applyAlignment="1">
      <alignment horizontal="center" vertical="center"/>
    </xf>
    <xf numFmtId="49" fontId="79" fillId="12" borderId="21" xfId="0" applyNumberFormat="1" applyFont="1" applyFill="1" applyBorder="1" applyAlignment="1">
      <alignment horizontal="center" vertical="center" wrapText="1"/>
    </xf>
    <xf numFmtId="49" fontId="79" fillId="12" borderId="4" xfId="0" applyNumberFormat="1" applyFont="1" applyFill="1" applyBorder="1" applyAlignment="1">
      <alignment horizontal="center" vertical="center" wrapText="1"/>
    </xf>
    <xf numFmtId="0" fontId="79" fillId="12" borderId="21" xfId="0" applyFont="1" applyFill="1" applyBorder="1" applyAlignment="1">
      <alignment horizontal="center" vertical="center" wrapText="1"/>
    </xf>
    <xf numFmtId="0" fontId="79" fillId="12" borderId="4" xfId="0" applyFont="1" applyFill="1" applyBorder="1" applyAlignment="1">
      <alignment horizontal="center" vertical="center" wrapText="1"/>
    </xf>
    <xf numFmtId="184" fontId="52" fillId="5" borderId="21" xfId="5" applyNumberFormat="1" applyFont="1" applyFill="1" applyBorder="1" applyAlignment="1">
      <alignment horizontal="center" vertical="center" wrapText="1"/>
    </xf>
    <xf numFmtId="184" fontId="52" fillId="5" borderId="20" xfId="5" applyNumberFormat="1" applyFont="1" applyFill="1" applyBorder="1" applyAlignment="1">
      <alignment horizontal="center" vertical="center" wrapText="1"/>
    </xf>
    <xf numFmtId="0" fontId="39" fillId="5" borderId="4" xfId="5" applyFont="1" applyFill="1" applyBorder="1" applyAlignment="1">
      <alignment vertical="center"/>
    </xf>
    <xf numFmtId="184" fontId="52" fillId="5" borderId="26" xfId="5" applyNumberFormat="1" applyFont="1" applyFill="1" applyBorder="1" applyAlignment="1">
      <alignment horizontal="center" vertical="center" wrapText="1"/>
    </xf>
    <xf numFmtId="184" fontId="52" fillId="5" borderId="19" xfId="5" applyNumberFormat="1" applyFont="1" applyFill="1" applyBorder="1" applyAlignment="1">
      <alignment horizontal="center" vertical="center" wrapText="1"/>
    </xf>
    <xf numFmtId="0" fontId="39" fillId="5" borderId="29" xfId="5" applyFont="1" applyFill="1" applyBorder="1" applyAlignment="1">
      <alignment vertical="center"/>
    </xf>
    <xf numFmtId="184" fontId="52" fillId="5" borderId="4" xfId="5" applyNumberFormat="1" applyFont="1" applyFill="1" applyBorder="1" applyAlignment="1">
      <alignment horizontal="center" vertical="center" wrapText="1"/>
    </xf>
    <xf numFmtId="184" fontId="48" fillId="0" borderId="20" xfId="4" applyNumberFormat="1" applyFont="1" applyBorder="1" applyAlignment="1" applyProtection="1">
      <alignment vertical="center"/>
      <protection locked="0"/>
    </xf>
    <xf numFmtId="49" fontId="218" fillId="0" borderId="20" xfId="4" applyNumberFormat="1" applyFont="1" applyBorder="1" applyAlignment="1" applyProtection="1">
      <alignment horizontal="center" vertical="center" wrapText="1"/>
      <protection locked="0"/>
    </xf>
    <xf numFmtId="164" fontId="219" fillId="0" borderId="20" xfId="4" applyNumberFormat="1" applyFont="1" applyBorder="1" applyAlignment="1" applyProtection="1">
      <alignment vertical="center"/>
      <protection locked="0"/>
    </xf>
    <xf numFmtId="0" fontId="139" fillId="0" borderId="20" xfId="4" applyFont="1" applyBorder="1" applyAlignment="1" applyProtection="1">
      <alignment horizontal="center" vertical="center"/>
      <protection locked="0"/>
    </xf>
    <xf numFmtId="49" fontId="139" fillId="0" borderId="20" xfId="4" applyNumberFormat="1" applyFont="1" applyBorder="1" applyAlignment="1" applyProtection="1">
      <alignment horizontal="center" vertical="center" wrapText="1"/>
      <protection locked="0"/>
    </xf>
    <xf numFmtId="0" fontId="139" fillId="0" borderId="20" xfId="4" applyFont="1" applyBorder="1" applyAlignment="1" applyProtection="1">
      <alignment horizontal="center" vertical="center" wrapText="1"/>
      <protection locked="0"/>
    </xf>
    <xf numFmtId="164" fontId="139" fillId="0" borderId="20" xfId="4" applyNumberFormat="1" applyFont="1" applyBorder="1" applyAlignment="1" applyProtection="1">
      <alignment horizontal="center" vertical="center"/>
      <protection locked="0"/>
    </xf>
    <xf numFmtId="184" fontId="139" fillId="0" borderId="20" xfId="4" applyNumberFormat="1" applyFont="1" applyBorder="1" applyAlignment="1" applyProtection="1">
      <alignment horizontal="center" vertical="center"/>
      <protection locked="0"/>
    </xf>
    <xf numFmtId="164" fontId="220" fillId="0" borderId="20" xfId="4" applyNumberFormat="1" applyFont="1" applyBorder="1" applyAlignment="1" applyProtection="1">
      <alignment horizontal="center" vertical="center"/>
      <protection locked="0"/>
    </xf>
    <xf numFmtId="49" fontId="221" fillId="0" borderId="20" xfId="4" applyNumberFormat="1" applyFont="1" applyBorder="1" applyAlignment="1" applyProtection="1">
      <alignment horizontal="center" vertical="center" wrapText="1"/>
      <protection locked="0"/>
    </xf>
    <xf numFmtId="49" fontId="146" fillId="0" borderId="20" xfId="4" applyNumberFormat="1" applyFont="1" applyBorder="1" applyAlignment="1" applyProtection="1">
      <alignment horizontal="center" vertical="center" wrapText="1"/>
      <protection locked="0"/>
    </xf>
    <xf numFmtId="0" fontId="222" fillId="0" borderId="0" xfId="4" applyFont="1" applyAlignment="1" applyProtection="1">
      <alignment horizontal="centerContinuous" vertical="center"/>
      <protection locked="0"/>
    </xf>
  </cellXfs>
  <cellStyles count="129">
    <cellStyle name="          _x000d_&#10;shell=progman.exe_x000d_&#10;m" xfId="10"/>
    <cellStyle name="??" xfId="11"/>
    <cellStyle name="?? [0.00]_PRODUCT DETAIL Q1" xfId="12"/>
    <cellStyle name="?? [0]" xfId="13"/>
    <cellStyle name="???? [0.00]_PRODUCT DETAIL Q1" xfId="14"/>
    <cellStyle name="????_PRODUCT DETAIL Q1" xfId="15"/>
    <cellStyle name="???[0]_Book1" xfId="16"/>
    <cellStyle name="???_???" xfId="17"/>
    <cellStyle name="??_(????)??????" xfId="18"/>
    <cellStyle name="_Tong hop may cheu nganh 1" xfId="19"/>
    <cellStyle name="•W€_STDFOR" xfId="20"/>
    <cellStyle name="W_STDFOR" xfId="21"/>
    <cellStyle name="1" xfId="22"/>
    <cellStyle name="¹éºÐÀ²_±âÅ¸" xfId="23"/>
    <cellStyle name="2" xfId="24"/>
    <cellStyle name="20" xfId="25"/>
    <cellStyle name="3" xfId="26"/>
    <cellStyle name="4" xfId="27"/>
    <cellStyle name="6" xfId="28"/>
    <cellStyle name="ÅëÈ­ [0]_¿ì¹°Åë" xfId="29"/>
    <cellStyle name="AeE­ [0]_INQUIRY ¿µ¾÷AßAø " xfId="30"/>
    <cellStyle name="ÅëÈ­ [0]_Sheet1" xfId="31"/>
    <cellStyle name="ÅëÈ­_¿ì¹°Åë" xfId="32"/>
    <cellStyle name="AeE­_INQUIRY ¿µ¾÷AßAø " xfId="33"/>
    <cellStyle name="ÅëÈ­_Sheet1" xfId="34"/>
    <cellStyle name="ÄÞ¸¶ [0]_¿ì¹°Åë" xfId="35"/>
    <cellStyle name="AÞ¸¶ [0]_INQUIRY ¿?¾÷AßAø " xfId="36"/>
    <cellStyle name="ÄÞ¸¶ [0]_L601CPT" xfId="37"/>
    <cellStyle name="ÄÞ¸¶_¿ì¹°Åë" xfId="38"/>
    <cellStyle name="AÞ¸¶_INQUIRY ¿?¾÷AßAø " xfId="39"/>
    <cellStyle name="ÄÞ¸¶_L601CPT" xfId="40"/>
    <cellStyle name="C?AØ_¿?¾÷CoE² " xfId="41"/>
    <cellStyle name="Ç¥ÁØ_#2(M17)_1" xfId="42"/>
    <cellStyle name="C￥AØ_¿μ¾÷CoE² " xfId="43"/>
    <cellStyle name="Ç¥ÁØ_±³°¢¼ö·®" xfId="44"/>
    <cellStyle name="category" xfId="45"/>
    <cellStyle name="Comma" xfId="1" builtinId="3"/>
    <cellStyle name="Comma 2" xfId="46"/>
    <cellStyle name="Comma 3" xfId="47"/>
    <cellStyle name="Comma 4" xfId="128"/>
    <cellStyle name="comma zerodec" xfId="48"/>
    <cellStyle name="Comma0" xfId="49"/>
    <cellStyle name="Currency0" xfId="50"/>
    <cellStyle name="Currency1" xfId="51"/>
    <cellStyle name="D1" xfId="52"/>
    <cellStyle name="Date" xfId="53"/>
    <cellStyle name="Dezimal [0]_UXO VII" xfId="54"/>
    <cellStyle name="Dezimal_UXO VII" xfId="55"/>
    <cellStyle name="Dollar (zero dec)" xfId="56"/>
    <cellStyle name="e" xfId="57"/>
    <cellStyle name="f" xfId="58"/>
    <cellStyle name="Fixed" xfId="59"/>
    <cellStyle name="Grey" xfId="60"/>
    <cellStyle name="HEADER" xfId="61"/>
    <cellStyle name="Header1" xfId="62"/>
    <cellStyle name="Header2" xfId="63"/>
    <cellStyle name="Heading1" xfId="64"/>
    <cellStyle name="Heading2" xfId="65"/>
    <cellStyle name="Hyperlink" xfId="2" builtinId="8"/>
    <cellStyle name="Hyperlink 2" xfId="66"/>
    <cellStyle name="Input [yellow]" xfId="67"/>
    <cellStyle name="Millares [0]_Well Timing" xfId="68"/>
    <cellStyle name="Millares_Well Timing" xfId="69"/>
    <cellStyle name="Model" xfId="70"/>
    <cellStyle name="moi" xfId="71"/>
    <cellStyle name="Moneda [0]_Well Timing" xfId="72"/>
    <cellStyle name="Moneda_Well Timing" xfId="73"/>
    <cellStyle name="Monétaire [0]_TARIFFS DB" xfId="74"/>
    <cellStyle name="Monétaire_TARIFFS DB" xfId="75"/>
    <cellStyle name="n" xfId="76"/>
    <cellStyle name="New Times Roman" xfId="77"/>
    <cellStyle name="no dec" xfId="78"/>
    <cellStyle name="Normal" xfId="0" builtinId="0"/>
    <cellStyle name="Normal - Style1" xfId="79"/>
    <cellStyle name="Normal 2" xfId="9"/>
    <cellStyle name="Normal 3" xfId="80"/>
    <cellStyle name="Normal 4" xfId="81"/>
    <cellStyle name="Normal 5" xfId="82"/>
    <cellStyle name="Normal 6" xfId="83"/>
    <cellStyle name="Normal 7" xfId="84"/>
    <cellStyle name="Normal 8" xfId="126"/>
    <cellStyle name="Normal 8 2" xfId="127"/>
    <cellStyle name="Normal_Bang tinh GCM Cong ty GXD" xfId="3"/>
    <cellStyle name="Normal_DuthauGXD-template2" xfId="5"/>
    <cellStyle name="Normal_DUTOAN1" xfId="4"/>
    <cellStyle name="Normal_gia ca may-bluong" xfId="6"/>
    <cellStyle name="Normal_Mau TH theo 04" xfId="7"/>
    <cellStyle name="Normal1" xfId="85"/>
    <cellStyle name="Œ…‹æØ‚è [0.00]_laroux" xfId="86"/>
    <cellStyle name="Œ…‹æØ‚è_laroux" xfId="87"/>
    <cellStyle name="oft Excel]_x000d_&#10;Comment=The open=/f lines load custom functions into the Paste Function list._x000d_&#10;Maximized=2_x000d_&#10;Basics=1_x000d_&#10;A" xfId="88"/>
    <cellStyle name="oft Excel]_x000d_&#10;Comment=The open=/f lines load custom functions into the Paste Function list._x000d_&#10;Maximized=3_x000d_&#10;Basics=1_x000d_&#10;A" xfId="89"/>
    <cellStyle name="omma [0]_Mktg Prog" xfId="90"/>
    <cellStyle name="ormal_Sheet1_1" xfId="91"/>
    <cellStyle name="Percent" xfId="8" builtinId="5"/>
    <cellStyle name="Percent [2]" xfId="92"/>
    <cellStyle name="Percent 2" xfId="93"/>
    <cellStyle name="s]_x000d_&#10;spooler=yes_x000d_&#10;load=_x000d_&#10;Beep=yes_x000d_&#10;NullPort=None_x000d_&#10;BorderWidth=3_x000d_&#10;CursorBlinkRate=1200_x000d_&#10;DoubleClickSpeed=452_x000d_&#10;Programs=co" xfId="94"/>
    <cellStyle name="Style 1" xfId="95"/>
    <cellStyle name="style_1" xfId="96"/>
    <cellStyle name="subhead" xfId="97"/>
    <cellStyle name="T" xfId="98"/>
    <cellStyle name="th" xfId="99"/>
    <cellStyle name="þ_x001d_ð·_x000c_æþ'_x000d_ßþU_x0001_Ø_x0005_ü_x0014__x0007__x0001__x0001_" xfId="100"/>
    <cellStyle name="þ_x001d_ðÇ%Uý—&amp;Hý9_x0008_Ÿ s&#10;_x0007__x0001__x0001_" xfId="101"/>
    <cellStyle name="viet" xfId="102"/>
    <cellStyle name="viet2" xfId="103"/>
    <cellStyle name="Währung [0]_UXO VII" xfId="104"/>
    <cellStyle name="Währung_UXO VII" xfId="105"/>
    <cellStyle name=" [0.00]_ Att. 1- Cover" xfId="106"/>
    <cellStyle name="_ Att. 1- Cover" xfId="107"/>
    <cellStyle name="?_ Att. 1- Cover" xfId="108"/>
    <cellStyle name="똿뗦먛귟 [0.00]_PRODUCT DETAIL Q1" xfId="109"/>
    <cellStyle name="똿뗦먛귟_PRODUCT DETAIL Q1" xfId="110"/>
    <cellStyle name="믅됞 [0.00]_PRODUCT DETAIL Q1" xfId="111"/>
    <cellStyle name="믅됞_PRODUCT DETAIL Q1" xfId="112"/>
    <cellStyle name="백분율_95" xfId="113"/>
    <cellStyle name="뷭?_BOOKSHIP" xfId="114"/>
    <cellStyle name="콤마 [0]_ 비목별 월별기술 " xfId="115"/>
    <cellStyle name="콤마_ 비목별 월별기술 " xfId="116"/>
    <cellStyle name="통화 [0]_1202" xfId="117"/>
    <cellStyle name="통화_1202" xfId="118"/>
    <cellStyle name="표준_(정보부문)월별인원계획" xfId="119"/>
    <cellStyle name="一般_00Q3902REV.1" xfId="120"/>
    <cellStyle name="千分位[0]_00Q3902REV.1" xfId="121"/>
    <cellStyle name="千分位_00Q3902REV.1" xfId="122"/>
    <cellStyle name="貨幣 [0]_00Q3902REV.1" xfId="123"/>
    <cellStyle name="貨幣[0]_BRE" xfId="124"/>
    <cellStyle name="貨幣_00Q3902REV.1" xfId="125"/>
  </cellStyles>
  <dxfs count="2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condense val="0"/>
        <extend val="0"/>
        <color indexed="10"/>
      </font>
      <fill>
        <patternFill patternType="none">
          <bgColor auto="1"/>
        </patternFill>
      </fill>
      <border>
        <left/>
        <right/>
        <top/>
        <bottom/>
      </border>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s>
  <tableStyles count="0" defaultTableStyle="TableStyleMedium9" defaultPivotStyle="PivotStyleLight16"/>
  <colors>
    <mruColors>
      <color rgb="FF0000FF"/>
      <color rgb="FF0033CC"/>
      <color rgb="FFCCFFCC"/>
      <color rgb="FFFFFF99"/>
      <color rgb="FF99FF99"/>
      <color rgb="FFFFFF66"/>
      <color rgb="FF008000"/>
      <color rgb="FF33CC33"/>
      <color rgb="FF006600"/>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microsoft.com/office/2006/relationships/vbaProject" Target="vbaProject.bin"/><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Drop" dropLines="5" dropStyle="combo" dx="16" fmlaLink="'QD957'!$D$5" fmlaRange="'QD957'!$AB$6:$AB$10" val="0"/>
</file>

<file path=xl/ctrlProps/ctrlProp2.xml><?xml version="1.0" encoding="utf-8"?>
<formControlPr xmlns="http://schemas.microsoft.com/office/spreadsheetml/2009/9/main" objectType="Drop" dropLines="3" dropStyle="combo" dx="16" fmlaLink="'QD957'!$D$6" fmlaRange="'QD957'!$M$37:$M$39" val="0"/>
</file>

<file path=xl/ctrlProps/ctrlProp3.xml><?xml version="1.0" encoding="utf-8"?>
<formControlPr xmlns="http://schemas.microsoft.com/office/spreadsheetml/2009/9/main" objectType="Drop" dropLines="5" dropStyle="combo" dx="16" fmlaLink="'QD957'!$D$7" fmlaRange="'QD957'!$AB$37:$AB$41" sel="5" val="0"/>
</file>

<file path=xl/ctrlProps/ctrlProp4.xml><?xml version="1.0" encoding="utf-8"?>
<formControlPr xmlns="http://schemas.microsoft.com/office/spreadsheetml/2009/9/main" objectType="Drop" dropLines="3" dropStyle="combo" dx="16" fmlaLink="'QD957'!$D$8" fmlaRange="'QD957'!$M$43:$M$44" sel="2" val="0"/>
</file>

<file path=xl/ctrlProps/ctrlProp5.xml><?xml version="1.0" encoding="utf-8"?>
<formControlPr xmlns="http://schemas.microsoft.com/office/spreadsheetml/2009/9/main" objectType="Drop" dropLines="5" dropStyle="combo" dx="16" fmlaLink="'QD957'!$D$5" fmlaRange="$AB$6:$AB$10" val="0"/>
</file>

<file path=xl/ctrlProps/ctrlProp6.xml><?xml version="1.0" encoding="utf-8"?>
<formControlPr xmlns="http://schemas.microsoft.com/office/spreadsheetml/2009/9/main" objectType="Drop" dropLines="3" dropStyle="combo" dx="16" fmlaLink="'QD957'!$D$6" fmlaRange="$M$37:$M$39" val="0"/>
</file>

<file path=xl/ctrlProps/ctrlProp7.xml><?xml version="1.0" encoding="utf-8"?>
<formControlPr xmlns="http://schemas.microsoft.com/office/spreadsheetml/2009/9/main" objectType="Drop" dropLines="5" dropStyle="combo" dx="16" fmlaLink="'QD957'!$D$7" fmlaRange="$AB$37:$AB$41" sel="5" val="0"/>
</file>

<file path=xl/ctrlProps/ctrlProp8.xml><?xml version="1.0" encoding="utf-8"?>
<formControlPr xmlns="http://schemas.microsoft.com/office/spreadsheetml/2009/9/main" objectType="Drop" dropLines="3" dropStyle="combo" dx="16" fmlaLink="$D$8" fmlaRange="$M$43:$M$44" sel="2" val="0"/>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giaxaydung.vn/diendan" TargetMode="External"/></Relationships>
</file>

<file path=xl/drawings/_rels/vmlDrawing6.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76200</xdr:colOff>
      <xdr:row>1</xdr:row>
      <xdr:rowOff>19050</xdr:rowOff>
    </xdr:to>
    <xdr:pic>
      <xdr:nvPicPr>
        <xdr:cNvPr id="2309" name="Picture 1" descr="logo.png">
          <a:hlinkClick xmlns:r="http://schemas.openxmlformats.org/officeDocument/2006/relationships" r:id="rId1" tooltip="Kích để tới diễn đàn giaxaydung.vn"/>
        </xdr:cNvPr>
        <xdr:cNvPicPr>
          <a:picLocks noChangeAspect="1"/>
        </xdr:cNvPicPr>
      </xdr:nvPicPr>
      <xdr:blipFill>
        <a:blip xmlns:r="http://schemas.openxmlformats.org/officeDocument/2006/relationships" r:embed="rId2" cstate="print"/>
        <a:srcRect/>
        <a:stretch>
          <a:fillRect/>
        </a:stretch>
      </xdr:blipFill>
      <xdr:spPr bwMode="auto">
        <a:xfrm>
          <a:off x="0" y="19050"/>
          <a:ext cx="485775" cy="352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giaxaydung.vn/diendan/f192" TargetMode="External"/><Relationship Id="rId13" Type="http://schemas.openxmlformats.org/officeDocument/2006/relationships/hyperlink" Target="http://phanmem.gxd.vn/" TargetMode="External"/><Relationship Id="rId3" Type="http://schemas.openxmlformats.org/officeDocument/2006/relationships/hyperlink" Target="http://www.dutoangxd.vn/" TargetMode="External"/><Relationship Id="rId7" Type="http://schemas.openxmlformats.org/officeDocument/2006/relationships/hyperlink" Target="http://www.giaxaydung.vn/diendan/f4" TargetMode="External"/><Relationship Id="rId12" Type="http://schemas.openxmlformats.org/officeDocument/2006/relationships/hyperlink" Target="http://gxd.vn/" TargetMode="External"/><Relationship Id="rId2" Type="http://schemas.openxmlformats.org/officeDocument/2006/relationships/hyperlink" Target="http://giaxaydung.vn/" TargetMode="External"/><Relationship Id="rId16" Type="http://schemas.openxmlformats.org/officeDocument/2006/relationships/drawing" Target="../drawings/drawing1.xml"/><Relationship Id="rId1" Type="http://schemas.openxmlformats.org/officeDocument/2006/relationships/hyperlink" Target="http://www.giaxaydung.vn/diendan/f467/" TargetMode="External"/><Relationship Id="rId6" Type="http://schemas.openxmlformats.org/officeDocument/2006/relationships/hyperlink" Target="http://www.giaxaydung.vn/diendan/f15" TargetMode="External"/><Relationship Id="rId11" Type="http://schemas.openxmlformats.org/officeDocument/2006/relationships/hyperlink" Target="http://www.giaxaydung.vn/thuvien" TargetMode="External"/><Relationship Id="rId5" Type="http://schemas.openxmlformats.org/officeDocument/2006/relationships/hyperlink" Target="http://www.giaxaydung.vn/diendan/f162" TargetMode="External"/><Relationship Id="rId15" Type="http://schemas.openxmlformats.org/officeDocument/2006/relationships/printerSettings" Target="../printerSettings/printerSettings1.bin"/><Relationship Id="rId10" Type="http://schemas.openxmlformats.org/officeDocument/2006/relationships/hyperlink" Target="http://dutoangxd.vn/forumdisplay.php?f=464" TargetMode="External"/><Relationship Id="rId4" Type="http://schemas.openxmlformats.org/officeDocument/2006/relationships/hyperlink" Target="http://dutoangxd.vn/forumdisplay.php?f=464" TargetMode="External"/><Relationship Id="rId9" Type="http://schemas.openxmlformats.org/officeDocument/2006/relationships/hyperlink" Target="http://www.giaxaydung.vn/diendan/f418" TargetMode="External"/><Relationship Id="rId14" Type="http://schemas.openxmlformats.org/officeDocument/2006/relationships/hyperlink" Target="http://thuvien.gxd.vn/"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6.vml"/><Relationship Id="rId1" Type="http://schemas.openxmlformats.org/officeDocument/2006/relationships/printerSettings" Target="../printerSettings/printerSettings27.bin"/><Relationship Id="rId4" Type="http://schemas.openxmlformats.org/officeDocument/2006/relationships/oleObject" Target="../embeddings/oleObject2.bin"/></Relationships>
</file>

<file path=xl/worksheets/_rels/sheet28.xml.rels><?xml version="1.0" encoding="UTF-8" standalone="yes"?>
<Relationships xmlns="http://schemas.openxmlformats.org/package/2006/relationships"><Relationship Id="rId7" Type="http://schemas.openxmlformats.org/officeDocument/2006/relationships/ctrlProp" Target="../ctrlProps/ctrlProp8.xml"/><Relationship Id="rId2" Type="http://schemas.openxmlformats.org/officeDocument/2006/relationships/vmlDrawing" Target="../drawings/vmlDrawing7.vml"/><Relationship Id="rId1" Type="http://schemas.openxmlformats.org/officeDocument/2006/relationships/printerSettings" Target="../printerSettings/printerSettings28.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8.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9.v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10.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1.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2.v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6"/>
  <dimension ref="A1:J37"/>
  <sheetViews>
    <sheetView zoomScale="75" zoomScaleNormal="75" workbookViewId="0">
      <selection activeCell="I6" sqref="I6"/>
    </sheetView>
  </sheetViews>
  <sheetFormatPr defaultRowHeight="15"/>
  <cols>
    <col min="1" max="1" width="5.42578125" customWidth="1"/>
    <col min="2" max="2" width="58.28515625" customWidth="1"/>
    <col min="3" max="3" width="15.5703125" customWidth="1"/>
    <col min="4" max="4" width="1.85546875" customWidth="1"/>
    <col min="5" max="5" width="5" customWidth="1"/>
    <col min="6" max="6" width="58.28515625" customWidth="1"/>
    <col min="7" max="7" width="15.28515625" customWidth="1"/>
    <col min="8" max="8" width="3.42578125" customWidth="1"/>
    <col min="9" max="9" width="4.7109375" customWidth="1"/>
    <col min="10" max="10" width="61.5703125" customWidth="1"/>
  </cols>
  <sheetData>
    <row r="1" spans="1:10" ht="27.75" customHeight="1">
      <c r="A1" s="4"/>
      <c r="B1" s="5" t="s">
        <v>1033</v>
      </c>
      <c r="C1" s="5"/>
      <c r="D1" s="9"/>
      <c r="E1" s="1071"/>
      <c r="F1" s="1071"/>
      <c r="G1" s="1071"/>
      <c r="H1" s="1071"/>
      <c r="I1" s="1071"/>
      <c r="J1" s="1071"/>
    </row>
    <row r="2" spans="1:10" ht="18.75">
      <c r="A2" s="8"/>
      <c r="B2" s="9"/>
      <c r="C2" s="9"/>
      <c r="D2" s="6"/>
    </row>
    <row r="3" spans="1:10" ht="17.25" customHeight="1">
      <c r="A3" s="784" t="s">
        <v>660</v>
      </c>
      <c r="B3" s="784" t="s">
        <v>661</v>
      </c>
      <c r="C3" s="785" t="s">
        <v>662</v>
      </c>
      <c r="E3" s="784" t="s">
        <v>660</v>
      </c>
      <c r="F3" s="784" t="s">
        <v>661</v>
      </c>
      <c r="G3" s="785" t="s">
        <v>662</v>
      </c>
      <c r="I3" s="784" t="s">
        <v>660</v>
      </c>
      <c r="J3" s="788" t="s">
        <v>1024</v>
      </c>
    </row>
    <row r="4" spans="1:10" ht="18.75">
      <c r="A4" s="1049">
        <v>1</v>
      </c>
      <c r="B4" s="1066" t="s">
        <v>665</v>
      </c>
      <c r="C4" s="786" t="s">
        <v>666</v>
      </c>
      <c r="D4" s="1068"/>
      <c r="E4" s="1049">
        <v>21</v>
      </c>
      <c r="F4" s="1069" t="s">
        <v>670</v>
      </c>
      <c r="G4" s="968" t="s">
        <v>671</v>
      </c>
      <c r="I4" s="1047">
        <v>1</v>
      </c>
      <c r="J4" s="1066" t="s">
        <v>1107</v>
      </c>
    </row>
    <row r="5" spans="1:10" ht="18.75">
      <c r="A5" s="1049">
        <v>2</v>
      </c>
      <c r="B5" s="1066" t="s">
        <v>614</v>
      </c>
      <c r="C5" s="786" t="s">
        <v>667</v>
      </c>
      <c r="D5" s="1068"/>
      <c r="E5" s="1049">
        <v>22</v>
      </c>
      <c r="F5" s="1070" t="s">
        <v>668</v>
      </c>
      <c r="G5" s="787" t="s">
        <v>669</v>
      </c>
      <c r="I5" s="829">
        <v>2</v>
      </c>
      <c r="J5" s="1066" t="s">
        <v>1108</v>
      </c>
    </row>
    <row r="6" spans="1:10" ht="18.75">
      <c r="A6" s="1049">
        <v>3</v>
      </c>
      <c r="B6" s="1066" t="s">
        <v>995</v>
      </c>
      <c r="C6" s="786" t="s">
        <v>996</v>
      </c>
      <c r="D6" s="1068"/>
      <c r="E6" s="1049">
        <v>23</v>
      </c>
      <c r="F6" s="1069" t="s">
        <v>663</v>
      </c>
      <c r="G6" s="968" t="s">
        <v>664</v>
      </c>
      <c r="I6" s="829">
        <v>3</v>
      </c>
      <c r="J6" s="1066" t="s">
        <v>1111</v>
      </c>
    </row>
    <row r="7" spans="1:10" ht="18.75">
      <c r="A7" s="1050"/>
      <c r="B7" s="969" t="s">
        <v>672</v>
      </c>
      <c r="C7" s="970"/>
      <c r="D7" s="1068"/>
      <c r="E7" s="1050"/>
      <c r="F7" s="969" t="s">
        <v>680</v>
      </c>
      <c r="G7" s="970"/>
      <c r="I7" s="829">
        <v>4</v>
      </c>
      <c r="J7" s="1066" t="s">
        <v>1110</v>
      </c>
    </row>
    <row r="8" spans="1:10" ht="18.75">
      <c r="A8" s="829">
        <v>4</v>
      </c>
      <c r="B8" s="1069" t="s">
        <v>989</v>
      </c>
      <c r="C8" s="968" t="s">
        <v>991</v>
      </c>
      <c r="D8" s="1068"/>
      <c r="E8" s="829">
        <v>24</v>
      </c>
      <c r="F8" s="1069" t="s">
        <v>990</v>
      </c>
      <c r="G8" s="968" t="s">
        <v>992</v>
      </c>
      <c r="I8" s="829">
        <v>5</v>
      </c>
      <c r="J8" s="1067" t="s">
        <v>1109</v>
      </c>
    </row>
    <row r="9" spans="1:10" ht="18.75">
      <c r="A9" s="829">
        <v>5</v>
      </c>
      <c r="B9" s="1069" t="s">
        <v>998</v>
      </c>
      <c r="C9" s="968" t="s">
        <v>993</v>
      </c>
      <c r="D9" s="1068"/>
      <c r="E9" s="829">
        <v>25</v>
      </c>
      <c r="F9" s="1069" t="s">
        <v>999</v>
      </c>
      <c r="G9" s="968" t="s">
        <v>994</v>
      </c>
      <c r="I9" s="829">
        <v>6</v>
      </c>
      <c r="J9" s="1067" t="s">
        <v>1112</v>
      </c>
    </row>
    <row r="10" spans="1:10" ht="18.75">
      <c r="A10" s="829">
        <v>6</v>
      </c>
      <c r="B10" s="1069" t="s">
        <v>673</v>
      </c>
      <c r="C10" s="968" t="s">
        <v>674</v>
      </c>
      <c r="D10" s="1068"/>
      <c r="E10" s="829">
        <v>26</v>
      </c>
      <c r="F10" s="1069" t="s">
        <v>685</v>
      </c>
      <c r="G10" s="968" t="s">
        <v>686</v>
      </c>
      <c r="I10" s="829">
        <v>7</v>
      </c>
      <c r="J10" s="1067" t="s">
        <v>1113</v>
      </c>
    </row>
    <row r="11" spans="1:10" ht="18.75">
      <c r="A11" s="829">
        <v>7</v>
      </c>
      <c r="B11" s="1069" t="s">
        <v>675</v>
      </c>
      <c r="C11" s="968" t="s">
        <v>676</v>
      </c>
      <c r="D11" s="1068"/>
      <c r="E11" s="829">
        <v>27</v>
      </c>
      <c r="F11" s="1069" t="s">
        <v>617</v>
      </c>
      <c r="G11" s="968" t="s">
        <v>687</v>
      </c>
      <c r="I11" s="829">
        <v>8</v>
      </c>
      <c r="J11" s="1067" t="s">
        <v>1106</v>
      </c>
    </row>
    <row r="12" spans="1:10" ht="18.75">
      <c r="A12" s="829">
        <v>8</v>
      </c>
      <c r="B12" s="1069" t="s">
        <v>844</v>
      </c>
      <c r="C12" s="968" t="s">
        <v>678</v>
      </c>
      <c r="D12" s="1068"/>
      <c r="E12" s="829">
        <v>28</v>
      </c>
      <c r="F12" s="1069" t="s">
        <v>507</v>
      </c>
      <c r="G12" s="968" t="s">
        <v>689</v>
      </c>
      <c r="I12" s="829">
        <v>9</v>
      </c>
      <c r="J12" s="1067" t="s">
        <v>850</v>
      </c>
    </row>
    <row r="13" spans="1:10" ht="18.75">
      <c r="A13" s="829">
        <v>9</v>
      </c>
      <c r="B13" s="1069" t="s">
        <v>519</v>
      </c>
      <c r="C13" s="968" t="s">
        <v>677</v>
      </c>
      <c r="D13" s="1068"/>
      <c r="E13" s="829">
        <v>29</v>
      </c>
      <c r="F13" s="1069" t="s">
        <v>506</v>
      </c>
      <c r="G13" s="968" t="s">
        <v>688</v>
      </c>
      <c r="I13" s="829">
        <v>10</v>
      </c>
      <c r="J13" s="1067" t="s">
        <v>851</v>
      </c>
    </row>
    <row r="14" spans="1:10" ht="18.75">
      <c r="A14" s="829">
        <v>10</v>
      </c>
      <c r="B14" s="1069" t="s">
        <v>618</v>
      </c>
      <c r="C14" s="968" t="s">
        <v>619</v>
      </c>
      <c r="D14" s="1068"/>
      <c r="E14" s="829">
        <v>30</v>
      </c>
      <c r="F14" s="1069" t="s">
        <v>513</v>
      </c>
      <c r="G14" s="968" t="s">
        <v>509</v>
      </c>
      <c r="I14" s="829">
        <v>11</v>
      </c>
      <c r="J14" s="1067" t="s">
        <v>852</v>
      </c>
    </row>
    <row r="15" spans="1:10" ht="18.75">
      <c r="A15" s="829">
        <v>11</v>
      </c>
      <c r="B15" s="1069" t="s">
        <v>520</v>
      </c>
      <c r="C15" s="968" t="s">
        <v>502</v>
      </c>
      <c r="D15" s="1068"/>
      <c r="E15" s="829">
        <v>31</v>
      </c>
      <c r="F15" s="1069" t="s">
        <v>514</v>
      </c>
      <c r="G15" s="968" t="s">
        <v>510</v>
      </c>
      <c r="I15" s="829">
        <v>12</v>
      </c>
      <c r="J15" s="1067" t="s">
        <v>853</v>
      </c>
    </row>
    <row r="16" spans="1:10" ht="18.75">
      <c r="A16" s="829">
        <v>12</v>
      </c>
      <c r="B16" s="1069" t="s">
        <v>849</v>
      </c>
      <c r="C16" s="968" t="s">
        <v>503</v>
      </c>
      <c r="D16" s="1068"/>
      <c r="E16" s="829">
        <v>32</v>
      </c>
      <c r="F16" s="1069" t="s">
        <v>515</v>
      </c>
      <c r="G16" s="968" t="s">
        <v>511</v>
      </c>
      <c r="I16" s="829">
        <v>13</v>
      </c>
      <c r="J16" s="1067" t="s">
        <v>854</v>
      </c>
    </row>
    <row r="17" spans="1:10" ht="18.75">
      <c r="A17" s="829">
        <v>13</v>
      </c>
      <c r="B17" s="1069" t="s">
        <v>517</v>
      </c>
      <c r="C17" s="968" t="s">
        <v>504</v>
      </c>
      <c r="D17" s="1068"/>
      <c r="E17" s="829">
        <v>33</v>
      </c>
      <c r="F17" s="1069" t="s">
        <v>516</v>
      </c>
      <c r="G17" s="968" t="s">
        <v>512</v>
      </c>
      <c r="I17" s="829">
        <v>14</v>
      </c>
      <c r="J17" s="1067" t="s">
        <v>1032</v>
      </c>
    </row>
    <row r="18" spans="1:10" ht="18.75">
      <c r="A18" s="829">
        <v>14</v>
      </c>
      <c r="B18" s="1066" t="s">
        <v>997</v>
      </c>
      <c r="C18" s="786" t="s">
        <v>1025</v>
      </c>
      <c r="D18" s="1068"/>
      <c r="E18" s="829">
        <v>34</v>
      </c>
      <c r="F18" s="1069" t="s">
        <v>508</v>
      </c>
      <c r="G18" s="968" t="s">
        <v>691</v>
      </c>
      <c r="I18" s="829">
        <v>15</v>
      </c>
      <c r="J18" s="1067" t="s">
        <v>1114</v>
      </c>
    </row>
    <row r="19" spans="1:10" ht="17.25" customHeight="1">
      <c r="A19" s="829">
        <v>15</v>
      </c>
      <c r="B19" s="1069" t="s">
        <v>518</v>
      </c>
      <c r="C19" s="968" t="s">
        <v>505</v>
      </c>
      <c r="D19" s="1068"/>
      <c r="E19" s="829">
        <v>35</v>
      </c>
      <c r="F19" s="1069" t="s">
        <v>522</v>
      </c>
      <c r="G19" s="968" t="s">
        <v>690</v>
      </c>
      <c r="I19" s="1241"/>
      <c r="J19" s="1241"/>
    </row>
    <row r="20" spans="1:10" ht="17.25" customHeight="1">
      <c r="A20" s="829">
        <v>16</v>
      </c>
      <c r="B20" s="1069" t="s">
        <v>521</v>
      </c>
      <c r="C20" s="968" t="s">
        <v>679</v>
      </c>
      <c r="D20" s="1068"/>
      <c r="E20" s="829">
        <v>36</v>
      </c>
      <c r="F20" s="1069" t="s">
        <v>1001</v>
      </c>
      <c r="G20" s="968" t="s">
        <v>1002</v>
      </c>
    </row>
    <row r="21" spans="1:10" ht="17.25" customHeight="1">
      <c r="A21" s="829">
        <v>17</v>
      </c>
      <c r="B21" s="1069" t="s">
        <v>1001</v>
      </c>
      <c r="C21" s="968" t="s">
        <v>1000</v>
      </c>
      <c r="D21" s="1068"/>
      <c r="E21" s="829">
        <v>37</v>
      </c>
      <c r="F21" s="1069" t="s">
        <v>1008</v>
      </c>
      <c r="G21" s="968" t="s">
        <v>1012</v>
      </c>
    </row>
    <row r="22" spans="1:10" ht="17.25" customHeight="1">
      <c r="A22" s="829">
        <v>18</v>
      </c>
      <c r="B22" s="1069" t="s">
        <v>1007</v>
      </c>
      <c r="C22" s="968" t="s">
        <v>1011</v>
      </c>
      <c r="D22" s="1068"/>
      <c r="E22" s="829">
        <v>38</v>
      </c>
      <c r="F22" s="1069" t="s">
        <v>1023</v>
      </c>
      <c r="G22" s="968" t="s">
        <v>1022</v>
      </c>
    </row>
    <row r="23" spans="1:10" ht="17.25" customHeight="1">
      <c r="A23" s="829">
        <v>19</v>
      </c>
      <c r="B23" s="1069" t="s">
        <v>1021</v>
      </c>
      <c r="C23" s="968" t="s">
        <v>1020</v>
      </c>
      <c r="D23" s="1068"/>
      <c r="E23" s="829">
        <v>39</v>
      </c>
      <c r="F23" s="1069" t="s">
        <v>1006</v>
      </c>
      <c r="G23" s="968" t="s">
        <v>1005</v>
      </c>
    </row>
    <row r="24" spans="1:10" ht="18.75">
      <c r="A24" s="829">
        <v>20</v>
      </c>
      <c r="B24" s="1069" t="s">
        <v>1003</v>
      </c>
      <c r="C24" s="968" t="s">
        <v>1004</v>
      </c>
      <c r="D24" s="1068"/>
      <c r="E24" s="829">
        <v>40</v>
      </c>
      <c r="F24" s="1069" t="s">
        <v>615</v>
      </c>
      <c r="G24" s="968" t="s">
        <v>616</v>
      </c>
    </row>
    <row r="25" spans="1:10" ht="18.75">
      <c r="A25" s="829"/>
      <c r="B25" s="1069"/>
      <c r="C25" s="968"/>
      <c r="D25" s="1068"/>
      <c r="E25" s="829">
        <v>41</v>
      </c>
      <c r="F25" s="1069" t="s">
        <v>683</v>
      </c>
      <c r="G25" s="968" t="s">
        <v>684</v>
      </c>
    </row>
    <row r="26" spans="1:10" ht="18.75">
      <c r="A26" s="1048"/>
      <c r="B26" s="1070"/>
      <c r="C26" s="787"/>
      <c r="D26" s="1068"/>
      <c r="E26" s="1048">
        <v>42</v>
      </c>
      <c r="F26" s="1070" t="s">
        <v>681</v>
      </c>
      <c r="G26" s="787" t="s">
        <v>682</v>
      </c>
    </row>
    <row r="27" spans="1:10" ht="22.5">
      <c r="A27" s="4"/>
      <c r="B27" s="7"/>
    </row>
    <row r="28" spans="1:10" ht="21" customHeight="1"/>
    <row r="33" ht="17.25" customHeight="1"/>
    <row r="37" ht="17.25" customHeight="1"/>
  </sheetData>
  <phoneticPr fontId="87" type="noConversion"/>
  <dataValidations count="1">
    <dataValidation allowBlank="1" showInputMessage="1" showErrorMessage="1" prompt="Kích vào tên để chuyển đến bảng tính" sqref="B1"/>
  </dataValidations>
  <hyperlinks>
    <hyperlink ref="B4" location="TM!A1" display="Thuyết minh lập dự toán"/>
    <hyperlink ref="B5" location="THKP!A1" display="Bảng tổng hợp dự toán công trình"/>
    <hyperlink ref="B14" location="'VLHT XD'!A1" display="Bảng tính giá vật liệu đến hiện trường"/>
    <hyperlink ref="B15" location="PLV!A1" display="Bảng phụ lục vữa thi công xây dựng"/>
    <hyperlink ref="B16" location="'NC XD'!A1" display="Bảng lương nhân công"/>
    <hyperlink ref="B17" location="'GCM XD'!A1" display="Bảng giá ca máy và thiết bị thi công xây dựng"/>
    <hyperlink ref="B10" location="Gxd!A1" display="Bảng tổng hợp dự toán chi phí xây dựng"/>
    <hyperlink ref="B11" location="'Dutoan XD'!A1" display="Bảng dự toán chi phí xây dựng"/>
    <hyperlink ref="B13" location="'TH&amp;CLVT XD'!A1" display="Bảng tổng hợp và tính chênh lệch vật tư"/>
    <hyperlink ref="B12" location="'DGCT XD'!A1" display="Bảng phân tích đơn giá chi tiết"/>
    <hyperlink ref="B20" location="'GVT XD'!A1" display="Bảng giá trị vật tư thi công xây dựng"/>
    <hyperlink ref="B19" location="'DTDT XD'!A1" display="Bảng dự toán dự thầu thi công xây dựng"/>
    <hyperlink ref="F26" location="Gtb!A1" display="Bảng tổng hợp dự toán chi phí thiết bị"/>
    <hyperlink ref="F24" location="Gms!A1" display="Bảng dự toán chi phí mua sắm thiết bị"/>
    <hyperlink ref="F25" location="Gdtcg!A1" display="Bảng tổng hợp chi phí đào tạo chuyển giao công nghệ"/>
    <hyperlink ref="F10" location="Gld!A1" display="Bảng tổng hợp dự toán chi phí lắp đặt thiết bị"/>
    <hyperlink ref="F11" location="'Dutoan TB'!A1" display="Bảng dự toán chi phí lắp đặt thiết bị"/>
    <hyperlink ref="F12" location="'DGCT TB'!A1" display="Bảng phân tích đơn giá chi tiết (thiết bị)"/>
    <hyperlink ref="F18" location="'DTDT TB'!A1" display="Bảng dự toán dự thầu"/>
    <hyperlink ref="F14" location="'VLHT TB'!A1" display="Bảng tính giá vật liệu đến hiện trường lắp đặt thiết bị"/>
    <hyperlink ref="F15" location="'PLV TB'!A1" display="Bảng phụ lục vữa lắp đặt thiết bị"/>
    <hyperlink ref="F16" location="'NC TB'!A1" display="Bảng lương nhân công lắp đặt thiết bị"/>
    <hyperlink ref="F17" location="'GCM TB'!A1" display="Bảng giá ca máy và thiết bị thi công lắp đặt thiết bị"/>
    <hyperlink ref="F19" location="'GVT TB'!A1" display="Bảng giá trị vật tư lắp đặt thiết bị"/>
    <hyperlink ref="J8" r:id="rId1" display="http://www.giaxaydung.vn/diendan/f467/"/>
    <hyperlink ref="F13" location="'TH&amp;CLVT TB'!A1" display="Bảng tổng hợp và tính chênh lệch vật tư lắp đặt thiết bị"/>
    <hyperlink ref="B8" location="'Bia1'!A1" tooltip="Kích để sang sheet bìa" display="Bìa (bìa ngoài, bìa lót phần xây dựng)"/>
    <hyperlink ref="F8" location="'Bia2'!A1" tooltip="Kích để sang sheet bìa" display="Bìa (bìa ngoài, bìa lót phần thiết bị)"/>
    <hyperlink ref="B9" location="THGxd!A1" tooltip="Kích để đến sheet THGxd" display="tổng hợp dự toán chi phí xây dựng các hạng mục"/>
    <hyperlink ref="F9" location="THGld!A1" tooltip="Kích để đến sheet THGld" display="tổng hợp dự toán lắp đặt thiết bị các hạng mục"/>
    <hyperlink ref="B6" location="PLthamtra!A1" tooltip="Bạn cần Unhide để hiển thị sheet PLthamtra trước khi kích để chuyển tới" display="Phụ lục dùng cho thẩm tra dự toán"/>
    <hyperlink ref="B21" location="'VCLC XD'!A1" tooltip="Bạn cần Unhide sheet VCVL XD lên cao trước" display="Bảng tổng hợp vật tư xây dựng vận chuyển lên cao"/>
    <hyperlink ref="F20" location="'VCLC TB'!A1" tooltip="Bạn cần Unhide sheet VCVL XD lên cao trước" display="Bảng tổng hợp vật tư xây dựng vận chuyển lên cao"/>
    <hyperlink ref="B24" location="'TDTC XD'!A1" tooltip="Bạn cần Unhide sheet TDTC XD trước" display="Bảng tiến độ thi công xây dựng"/>
    <hyperlink ref="F23" location="'TDLD TB'!A1" tooltip="Bạn cần Unhide sheet TDLD TB trước" display="Bảng tiến độ lắp đặt thiết bị"/>
    <hyperlink ref="B22" location="NhienlieuXD!A1" tooltip="Cần unhide sheet NhienlieuXD trước" display="Bảng tổng hợp hao phí nhiên liệu, năng lượng thi công xây dựng"/>
    <hyperlink ref="F21" location="NhienlieuTB!A1" tooltip="Có thể phải Unhide sheet NhienlieuTB trước" display="Bảng tổng hợp hao phí nhiên liệu, năng lượng lắp đặt thiết bị"/>
    <hyperlink ref="B23" location="'VLSG XD'!A1" tooltip="Cần Unhide sheet trước" display="Bảng giá trị chênh lệch vật liệu tính vào sau chi phí xây dựng trước thuế"/>
    <hyperlink ref="F22" location="'VLSG TB'!A1" tooltip="Cần Unhide sheet trước" display="bảng giá trị chênh lệch vật liệu tính vào sau chi phí lắp đặt thiết bị trước thuế"/>
    <hyperlink ref="J5" r:id="rId2" display="Trang tin www.giaxaydung.vn"/>
    <hyperlink ref="J4" r:id="rId3" display="Diễn đàn www.dutoangxd.vn"/>
    <hyperlink ref="F5" location="Gdp!A1" display="Bảng tính dự phòng phí"/>
    <hyperlink ref="F4" location="QD957!A1" display="Bảng tính nội suy các định mức tỷ lệ"/>
    <hyperlink ref="B18" location="Tkthep!A1" tooltip="Bạn cần Unhide để hiển thị sheet TKthep trước khi kích để chuyển tới" display="Bảng thống kê cốt thép"/>
    <hyperlink ref="F6" location="Ts!A1" display="Bảng các thông số ban đầu về công trình"/>
    <hyperlink ref="J17" r:id="rId4" tooltip="Kích để đến vị trí lưu trữ dữ liệu csv trên www.dutoangxd.vn"/>
    <hyperlink ref="J14" r:id="rId5" display="Báo giá vật liệu xây dựng từ thị trường http://www.giaxaydung.vn/diendan/f162"/>
    <hyperlink ref="J16" r:id="rId6" display="Quản lý chi phí đầu tư xây dựng http://www.giaxaydung.vn/diendan/f15"/>
    <hyperlink ref="J15" r:id="rId7" display="Quản lý dự án đầu tư xây dựng công trình http://www.giaxaydung.vn/diendan/f4"/>
    <hyperlink ref="J13" r:id="rId8"/>
    <hyperlink ref="J12" r:id="rId9"/>
    <hyperlink ref="J11" r:id="rId10"/>
    <hyperlink ref="J18" r:id="rId11" tooltip="Đến vị trí tải dữ liệu lập dự toán." display="Thư viện www.giaxaydung.vn/thuvien"/>
    <hyperlink ref="J6" r:id="rId12" display="Kích đến trang Gxd.vn để tìm kiếm văn bản"/>
    <hyperlink ref="J7" r:id="rId13" display="Kích để đến Siêu thị phần mềm xây dựng"/>
    <hyperlink ref="J10" r:id="rId14" display="Kích để đến thư viện gxd.vn"/>
  </hyperlinks>
  <printOptions horizontalCentered="1"/>
  <pageMargins left="0.70866141732283472" right="0.31496062992125984" top="0.74803149606299213" bottom="0.74803149606299213" header="0.31496062992125984" footer="0.31496062992125984"/>
  <pageSetup paperSize="9" orientation="portrait" horizontalDpi="300" verticalDpi="300" r:id="rId15"/>
  <headerFooter>
    <oddHeader>&amp;L&amp;"+,nghiêng"&amp;10Dự toán GXD - www.giaxaydung.vn</oddHeader>
    <oddFooter>&amp;C&amp;P</oddFooter>
  </headerFooter>
  <drawing r:id="rId16"/>
</worksheet>
</file>

<file path=xl/worksheets/sheet10.xml><?xml version="1.0" encoding="utf-8"?>
<worksheet xmlns="http://schemas.openxmlformats.org/spreadsheetml/2006/main" xmlns:r="http://schemas.openxmlformats.org/officeDocument/2006/relationships">
  <sheetPr codeName="Sheet9">
    <tabColor rgb="FFFFFF99"/>
  </sheetPr>
  <dimension ref="B1:AA21"/>
  <sheetViews>
    <sheetView topLeftCell="B1" workbookViewId="0">
      <selection activeCell="B9" sqref="B9"/>
    </sheetView>
  </sheetViews>
  <sheetFormatPr defaultRowHeight="15"/>
  <cols>
    <col min="1" max="1" width="0" hidden="1" customWidth="1"/>
    <col min="2" max="2" width="7.28515625" customWidth="1"/>
    <col min="3" max="3" width="6.7109375" customWidth="1"/>
    <col min="4" max="4" width="22.5703125" customWidth="1"/>
    <col min="5" max="5" width="8.28515625" customWidth="1"/>
    <col min="6" max="6" width="8.5703125" customWidth="1"/>
    <col min="7" max="7" width="9.140625" customWidth="1"/>
    <col min="8" max="8" width="8.85546875" customWidth="1"/>
    <col min="9" max="9" width="9.5703125" customWidth="1"/>
    <col min="10" max="10" width="12" customWidth="1"/>
    <col min="11" max="11" width="4.28515625" customWidth="1"/>
    <col min="13" max="13" width="5.5703125" customWidth="1"/>
    <col min="14" max="27" width="5.7109375" customWidth="1"/>
  </cols>
  <sheetData>
    <row r="1" spans="2:27" ht="22.5">
      <c r="B1" s="2" t="s">
        <v>980</v>
      </c>
      <c r="C1" s="2"/>
      <c r="D1" s="2"/>
      <c r="E1" s="2"/>
      <c r="F1" s="2"/>
      <c r="G1" s="2"/>
      <c r="H1" s="2"/>
      <c r="I1" s="2"/>
      <c r="J1" s="2"/>
      <c r="L1" s="1051" t="s">
        <v>977</v>
      </c>
      <c r="M1" s="1052">
        <v>6</v>
      </c>
      <c r="N1" s="1052">
        <v>8</v>
      </c>
      <c r="O1" s="1052">
        <v>10</v>
      </c>
      <c r="P1" s="1052">
        <v>12</v>
      </c>
      <c r="Q1" s="1052">
        <v>14</v>
      </c>
      <c r="R1" s="1052">
        <v>16</v>
      </c>
      <c r="S1" s="1052">
        <v>18</v>
      </c>
      <c r="T1" s="1052">
        <v>20</v>
      </c>
      <c r="U1" s="1052">
        <v>22</v>
      </c>
      <c r="V1" s="1052">
        <v>24</v>
      </c>
      <c r="W1" s="1052">
        <v>26</v>
      </c>
      <c r="X1" s="1052">
        <v>26</v>
      </c>
      <c r="Y1" s="1052">
        <v>28</v>
      </c>
      <c r="Z1" s="1052">
        <v>30</v>
      </c>
      <c r="AA1" s="921">
        <v>32</v>
      </c>
    </row>
    <row r="2" spans="2:27" ht="30">
      <c r="B2" s="3" t="str">
        <f>'Bia1'!D42&amp;'Bia1'!E42</f>
        <v>CÔNG TRÌNH: NHÀ BIỆT THỰ GXD</v>
      </c>
      <c r="C2" s="221"/>
      <c r="D2" s="221"/>
      <c r="E2" s="221"/>
      <c r="F2" s="221"/>
      <c r="G2" s="221"/>
      <c r="H2" s="221"/>
      <c r="I2" s="221"/>
      <c r="J2" s="221"/>
      <c r="L2" s="1051" t="s">
        <v>978</v>
      </c>
      <c r="M2" s="1053">
        <f t="shared" ref="M2:AA2" si="0">ROUND(PI()*(M1/1000)^2/4*1*$M$3,3)</f>
        <v>0.222</v>
      </c>
      <c r="N2" s="1053">
        <v>0.39500000000000002</v>
      </c>
      <c r="O2" s="1053">
        <v>0.61699999999999999</v>
      </c>
      <c r="P2" s="1053">
        <v>0.88800000000000001</v>
      </c>
      <c r="Q2" s="1053">
        <v>1.208</v>
      </c>
      <c r="R2" s="1053">
        <v>1.5780000000000001</v>
      </c>
      <c r="S2" s="1053">
        <v>1.998</v>
      </c>
      <c r="T2" s="1053">
        <v>2.4660000000000002</v>
      </c>
      <c r="U2" s="1053">
        <v>2.984</v>
      </c>
      <c r="V2" s="1053">
        <v>3.5510000000000002</v>
      </c>
      <c r="W2" s="1053">
        <v>4.1680000000000001</v>
      </c>
      <c r="X2" s="1053">
        <v>4.1680000000000001</v>
      </c>
      <c r="Y2" s="1053">
        <v>4.8339999999999996</v>
      </c>
      <c r="Z2" s="1053">
        <v>5.5490000000000004</v>
      </c>
      <c r="AA2" s="922">
        <f t="shared" si="0"/>
        <v>6.3129999999999997</v>
      </c>
    </row>
    <row r="3" spans="2:27" ht="18.75" customHeight="1">
      <c r="B3" s="3" t="str">
        <f>'Bia1'!D43&amp;'Bia1'!E43</f>
        <v>HẠNG MỤC: ĐỔI BẢNG MÃ FONT RẤT ĐƠN GIẢN TRONG DỰ TOÁN GXD</v>
      </c>
      <c r="C3" s="221"/>
      <c r="D3" s="221"/>
      <c r="E3" s="221"/>
      <c r="F3" s="221"/>
      <c r="G3" s="221"/>
      <c r="H3" s="221"/>
      <c r="I3" s="221"/>
      <c r="J3" s="221"/>
      <c r="M3" s="1054">
        <v>7850</v>
      </c>
      <c r="N3" s="1054" t="s">
        <v>979</v>
      </c>
    </row>
    <row r="5" spans="2:27" ht="30" customHeight="1">
      <c r="B5" s="1308" t="s">
        <v>982</v>
      </c>
      <c r="C5" s="1308" t="s">
        <v>983</v>
      </c>
      <c r="D5" s="1308" t="s">
        <v>984</v>
      </c>
      <c r="E5" s="1308" t="s">
        <v>988</v>
      </c>
      <c r="F5" s="1306" t="s">
        <v>985</v>
      </c>
      <c r="G5" s="1307"/>
      <c r="H5" s="1306" t="s">
        <v>986</v>
      </c>
      <c r="I5" s="1307"/>
      <c r="J5" s="1308" t="s">
        <v>981</v>
      </c>
    </row>
    <row r="6" spans="2:27" ht="30">
      <c r="B6" s="1309"/>
      <c r="C6" s="1309"/>
      <c r="D6" s="1309"/>
      <c r="E6" s="1309"/>
      <c r="F6" s="931" t="s">
        <v>975</v>
      </c>
      <c r="G6" s="931" t="s">
        <v>976</v>
      </c>
      <c r="H6" s="931" t="s">
        <v>975</v>
      </c>
      <c r="I6" s="931" t="s">
        <v>976</v>
      </c>
      <c r="J6" s="1309"/>
      <c r="P6" s="495"/>
    </row>
    <row r="7" spans="2:27">
      <c r="B7" s="1275"/>
      <c r="C7" s="1270"/>
      <c r="D7" s="1270"/>
      <c r="E7" s="1270"/>
      <c r="F7" s="1270"/>
      <c r="G7" s="1270"/>
      <c r="H7" s="1270"/>
      <c r="I7" s="1270"/>
      <c r="J7" s="1270"/>
      <c r="P7" s="495"/>
    </row>
    <row r="8" spans="2:27">
      <c r="B8" s="1276"/>
      <c r="C8" s="1271">
        <v>1</v>
      </c>
      <c r="D8" s="1271"/>
      <c r="E8" s="1272">
        <v>16</v>
      </c>
      <c r="F8" s="1272">
        <v>4</v>
      </c>
      <c r="G8" s="1272">
        <v>6.83</v>
      </c>
      <c r="H8" s="1272">
        <f>$B$10*F8</f>
        <v>16</v>
      </c>
      <c r="I8" s="1273">
        <f>G8*H8</f>
        <v>109.28</v>
      </c>
      <c r="J8" s="1274">
        <f>ROUND(HLOOKUP(E8,$M$1:$AR$2,2,0)*I8,0)</f>
        <v>172</v>
      </c>
    </row>
    <row r="9" spans="2:27">
      <c r="B9" s="920" t="s">
        <v>987</v>
      </c>
      <c r="C9" s="923">
        <v>2</v>
      </c>
      <c r="D9" s="923"/>
      <c r="E9" s="924">
        <v>20</v>
      </c>
      <c r="F9" s="924">
        <v>4</v>
      </c>
      <c r="G9" s="924">
        <v>8.2200000000000006</v>
      </c>
      <c r="H9" s="924">
        <f>$B$10*F9</f>
        <v>16</v>
      </c>
      <c r="I9" s="925">
        <f t="shared" ref="I9:I10" si="1">G9*H9</f>
        <v>131.52000000000001</v>
      </c>
      <c r="J9" s="926">
        <f t="shared" ref="J9:J10" si="2">ROUND(HLOOKUP(E9,$M$1:$AR$2,2,0)*I9,0)</f>
        <v>324</v>
      </c>
    </row>
    <row r="10" spans="2:27">
      <c r="B10" s="919">
        <v>4</v>
      </c>
      <c r="C10" s="923">
        <v>3</v>
      </c>
      <c r="D10" s="923"/>
      <c r="E10" s="924">
        <v>6</v>
      </c>
      <c r="F10" s="924">
        <v>2</v>
      </c>
      <c r="G10" s="924">
        <v>8.25</v>
      </c>
      <c r="H10" s="924">
        <f>$B$10*F10</f>
        <v>8</v>
      </c>
      <c r="I10" s="925">
        <f t="shared" si="1"/>
        <v>66</v>
      </c>
      <c r="J10" s="926">
        <f t="shared" si="2"/>
        <v>15</v>
      </c>
    </row>
    <row r="11" spans="2:27">
      <c r="B11" s="917"/>
      <c r="C11" s="923">
        <v>4</v>
      </c>
      <c r="D11" s="923"/>
      <c r="E11" s="924"/>
      <c r="F11" s="924"/>
      <c r="G11" s="924"/>
      <c r="H11" s="924"/>
      <c r="I11" s="925"/>
      <c r="J11" s="926"/>
    </row>
    <row r="12" spans="2:27">
      <c r="B12" s="917"/>
      <c r="C12" s="923">
        <v>5</v>
      </c>
      <c r="D12" s="923"/>
      <c r="E12" s="924"/>
      <c r="F12" s="924"/>
      <c r="G12" s="924"/>
      <c r="H12" s="924"/>
      <c r="I12" s="925"/>
      <c r="J12" s="926"/>
    </row>
    <row r="13" spans="2:27">
      <c r="B13" s="918"/>
      <c r="C13" s="927" t="s">
        <v>559</v>
      </c>
      <c r="D13" s="927"/>
      <c r="E13" s="928"/>
      <c r="F13" s="928"/>
      <c r="G13" s="928"/>
      <c r="H13" s="928"/>
      <c r="I13" s="929"/>
      <c r="J13" s="930"/>
    </row>
    <row r="14" spans="2:27">
      <c r="B14" s="1261"/>
      <c r="C14" s="1261"/>
      <c r="D14" s="1266" t="s">
        <v>753</v>
      </c>
      <c r="E14" s="1262">
        <v>10</v>
      </c>
      <c r="F14" s="1261"/>
      <c r="G14" s="1261"/>
      <c r="H14" s="1261"/>
      <c r="I14" s="1261"/>
      <c r="J14" s="1267">
        <f>SUMIF(E8:E13,"&lt;11",J8:J13)</f>
        <v>15</v>
      </c>
    </row>
    <row r="15" spans="2:27">
      <c r="B15" s="1263"/>
      <c r="C15" s="1263"/>
      <c r="D15" s="1263"/>
      <c r="E15" s="1264">
        <v>18</v>
      </c>
      <c r="F15" s="1263"/>
      <c r="G15" s="1263"/>
      <c r="H15" s="1263"/>
      <c r="I15" s="1263"/>
      <c r="J15" s="1268">
        <f>SUM(J8:J13)-J14-J16</f>
        <v>172</v>
      </c>
    </row>
    <row r="16" spans="2:27">
      <c r="B16" s="1241"/>
      <c r="C16" s="1241"/>
      <c r="D16" s="1241"/>
      <c r="E16" s="1265">
        <v>18</v>
      </c>
      <c r="F16" s="1241"/>
      <c r="G16" s="1241"/>
      <c r="H16" s="1241"/>
      <c r="I16" s="1241"/>
      <c r="J16" s="1269">
        <f>SUMIF(E8:E13,"&gt;18",J8:J13)</f>
        <v>324</v>
      </c>
      <c r="L16" s="916"/>
    </row>
    <row r="21" spans="2:2">
      <c r="B21" s="1055" t="s">
        <v>1143</v>
      </c>
    </row>
  </sheetData>
  <mergeCells count="7">
    <mergeCell ref="F5:G5"/>
    <mergeCell ref="H5:I5"/>
    <mergeCell ref="J5:J6"/>
    <mergeCell ref="B5:B6"/>
    <mergeCell ref="C5:C6"/>
    <mergeCell ref="D5:D6"/>
    <mergeCell ref="E5:E6"/>
  </mergeCells>
  <dataValidations disablePrompts="1" count="1">
    <dataValidation allowBlank="1" showInputMessage="1" showErrorMessage="1" prompt="Sao chép sang bên phải để thêm đường kính thép." sqref="AA1:AA2"/>
  </dataValidations>
  <printOptions horizontalCentered="1"/>
  <pageMargins left="0.75" right="0" top="0.5" bottom="0.25" header="0.25" footer="0.25"/>
  <pageSetup paperSize="9" orientation="portrait" verticalDpi="300" r:id="rId1"/>
  <ignoredErrors>
    <ignoredError sqref="B2:B3" unlockedFormula="1"/>
  </ignoredErrors>
</worksheet>
</file>

<file path=xl/worksheets/sheet11.xml><?xml version="1.0" encoding="utf-8"?>
<worksheet xmlns="http://schemas.openxmlformats.org/spreadsheetml/2006/main" xmlns:r="http://schemas.openxmlformats.org/officeDocument/2006/relationships">
  <sheetPr codeName="shDGCTXD">
    <tabColor rgb="FFFFFF99"/>
  </sheetPr>
  <dimension ref="A1:Z7"/>
  <sheetViews>
    <sheetView showZeros="0" workbookViewId="0">
      <selection activeCell="J11" sqref="J11"/>
    </sheetView>
  </sheetViews>
  <sheetFormatPr defaultColWidth="9" defaultRowHeight="15.75"/>
  <cols>
    <col min="1" max="1" width="3.5703125" style="39" customWidth="1"/>
    <col min="2" max="2" width="6.42578125" style="39" hidden="1" customWidth="1"/>
    <col min="3" max="3" width="9.7109375" style="39" hidden="1" customWidth="1"/>
    <col min="4" max="4" width="8.5703125" style="510" customWidth="1"/>
    <col min="5" max="5" width="8" style="613" customWidth="1"/>
    <col min="6" max="6" width="29.5703125" style="612" customWidth="1"/>
    <col min="7" max="7" width="6.5703125" style="359" customWidth="1"/>
    <col min="8" max="8" width="9.28515625" style="512" customWidth="1"/>
    <col min="9" max="9" width="10.42578125" style="367" customWidth="1"/>
    <col min="10" max="10" width="6.140625" style="513" customWidth="1"/>
    <col min="11" max="11" width="11.28515625" style="367" customWidth="1"/>
    <col min="12" max="13" width="8" style="28" hidden="1" customWidth="1"/>
    <col min="14" max="19" width="5.5703125" style="28" customWidth="1"/>
    <col min="20" max="22" width="8" style="28" customWidth="1"/>
    <col min="23" max="16384" width="9" style="28"/>
  </cols>
  <sheetData>
    <row r="1" spans="1:26" ht="27.95" customHeight="1">
      <c r="A1" s="2" t="s">
        <v>332</v>
      </c>
      <c r="B1" s="2"/>
      <c r="C1" s="2"/>
      <c r="D1" s="352"/>
      <c r="E1" s="352"/>
      <c r="F1" s="352"/>
      <c r="G1" s="352"/>
      <c r="H1" s="354"/>
      <c r="I1" s="365"/>
      <c r="J1" s="365"/>
      <c r="K1" s="365"/>
      <c r="N1" s="769" t="s">
        <v>281</v>
      </c>
      <c r="O1" s="769" t="s">
        <v>282</v>
      </c>
      <c r="P1" s="769" t="s">
        <v>284</v>
      </c>
      <c r="Q1" s="769" t="s">
        <v>9</v>
      </c>
      <c r="R1" s="769" t="s">
        <v>277</v>
      </c>
      <c r="S1" s="769" t="s">
        <v>186</v>
      </c>
      <c r="T1" s="769" t="s">
        <v>295</v>
      </c>
      <c r="U1" s="769" t="s">
        <v>831</v>
      </c>
      <c r="V1" s="822" t="s">
        <v>875</v>
      </c>
      <c r="W1" s="822" t="s">
        <v>1102</v>
      </c>
      <c r="X1" s="822" t="s">
        <v>1103</v>
      </c>
      <c r="Y1" s="822" t="s">
        <v>1104</v>
      </c>
      <c r="Z1" s="769" t="s">
        <v>1096</v>
      </c>
    </row>
    <row r="2" spans="1:26" ht="20.100000000000001" customHeight="1">
      <c r="A2" s="3" t="str">
        <f>'Bia1'!D42&amp;'Bia1'!E42</f>
        <v>CÔNG TRÌNH: NHÀ BIỆT THỰ GXD</v>
      </c>
      <c r="B2" s="3"/>
      <c r="C2" s="3"/>
      <c r="D2" s="355"/>
      <c r="E2" s="355"/>
      <c r="F2" s="355"/>
      <c r="G2" s="355"/>
      <c r="H2" s="357"/>
      <c r="I2" s="366"/>
      <c r="J2" s="366"/>
      <c r="K2" s="366"/>
      <c r="N2" s="768">
        <f>'CP xay dung'!F14</f>
        <v>1</v>
      </c>
      <c r="O2" s="768">
        <f>'CP xay dung'!F15</f>
        <v>1</v>
      </c>
      <c r="P2" s="768">
        <f>'CP xay dung'!F16</f>
        <v>1</v>
      </c>
      <c r="Q2" s="768">
        <f>'CP xay dung'!F17</f>
        <v>2.5</v>
      </c>
      <c r="R2" s="768">
        <f>'CP xay dung'!F19</f>
        <v>6.5</v>
      </c>
      <c r="S2" s="768">
        <f>'CP xay dung'!F20</f>
        <v>5.5</v>
      </c>
      <c r="T2" s="768">
        <f>'CP xay dung'!F22</f>
        <v>10</v>
      </c>
      <c r="U2" s="768">
        <f>'CP xay dung'!F24</f>
        <v>1</v>
      </c>
      <c r="V2" s="823">
        <f>Ts!H26*100</f>
        <v>51</v>
      </c>
      <c r="W2" s="823">
        <f>Ts!C20</f>
        <v>5</v>
      </c>
      <c r="X2" s="823">
        <v>5</v>
      </c>
      <c r="Y2" s="823">
        <v>5</v>
      </c>
      <c r="Z2" s="823">
        <v>10</v>
      </c>
    </row>
    <row r="3" spans="1:26" ht="20.100000000000001" customHeight="1">
      <c r="A3" s="3" t="str">
        <f>'Bia1'!D43&amp;'Bia1'!E43</f>
        <v>HẠNG MỤC: ĐỔI BẢNG MÃ FONT RẤT ĐƠN GIẢN TRONG DỰ TOÁN GXD</v>
      </c>
      <c r="B3" s="3"/>
      <c r="C3" s="3"/>
      <c r="D3" s="355"/>
      <c r="E3" s="355"/>
      <c r="F3" s="355"/>
      <c r="G3" s="355"/>
      <c r="H3" s="357"/>
      <c r="I3" s="366"/>
      <c r="J3" s="366"/>
      <c r="K3" s="366"/>
    </row>
    <row r="4" spans="1:26">
      <c r="A4" s="28"/>
      <c r="B4" s="28"/>
      <c r="C4" s="28"/>
      <c r="H4" s="361"/>
      <c r="J4" s="367"/>
      <c r="K4" s="280" t="s">
        <v>956</v>
      </c>
    </row>
    <row r="5" spans="1:26" ht="30" customHeight="1">
      <c r="A5" s="281" t="s">
        <v>660</v>
      </c>
      <c r="B5" s="371" t="s">
        <v>352</v>
      </c>
      <c r="C5" s="371" t="s">
        <v>641</v>
      </c>
      <c r="D5" s="371" t="s">
        <v>642</v>
      </c>
      <c r="E5" s="371" t="s">
        <v>327</v>
      </c>
      <c r="F5" s="372" t="s">
        <v>644</v>
      </c>
      <c r="G5" s="372" t="s">
        <v>304</v>
      </c>
      <c r="H5" s="509" t="s">
        <v>643</v>
      </c>
      <c r="I5" s="373" t="s">
        <v>305</v>
      </c>
      <c r="J5" s="368" t="s">
        <v>309</v>
      </c>
      <c r="K5" s="373" t="s">
        <v>306</v>
      </c>
      <c r="L5" s="373" t="s">
        <v>329</v>
      </c>
    </row>
    <row r="6" spans="1:26">
      <c r="A6" s="1203" t="s">
        <v>908</v>
      </c>
      <c r="B6" s="1204"/>
      <c r="C6" s="1204"/>
      <c r="D6" s="1204" t="s">
        <v>911</v>
      </c>
      <c r="E6" s="1204" t="s">
        <v>912</v>
      </c>
      <c r="F6" s="1205" t="s">
        <v>913</v>
      </c>
      <c r="G6" s="1205" t="s">
        <v>914</v>
      </c>
      <c r="H6" s="1206" t="s">
        <v>915</v>
      </c>
      <c r="I6" s="1207" t="s">
        <v>917</v>
      </c>
      <c r="J6" s="1208" t="s">
        <v>918</v>
      </c>
      <c r="K6" s="1207" t="s">
        <v>923</v>
      </c>
      <c r="L6" s="872" t="s">
        <v>924</v>
      </c>
      <c r="M6" s="39"/>
    </row>
    <row r="7" spans="1:26" s="794" customFormat="1">
      <c r="A7" s="793"/>
      <c r="B7" s="793"/>
      <c r="C7" s="793"/>
      <c r="D7" s="795"/>
      <c r="E7" s="796"/>
      <c r="F7" s="797"/>
      <c r="G7" s="798"/>
      <c r="H7" s="799"/>
      <c r="I7" s="800"/>
      <c r="J7" s="801"/>
      <c r="K7" s="800"/>
    </row>
  </sheetData>
  <phoneticPr fontId="87" type="noConversion"/>
  <dataValidations count="11">
    <dataValidation allowBlank="1" showInputMessage="1" showErrorMessage="1" prompt="Hệ số điều chỉnh vật liệu" sqref="N1"/>
    <dataValidation allowBlank="1" showInputMessage="1" showErrorMessage="1" prompt="Hệ số điều chỉnh Nhân công. Tra trong văn bản hướng dẫn của địa phương nơi xây dựng công trình hoặc của cơ quan có thẩm quyền." sqref="O1"/>
    <dataValidation allowBlank="1" showInputMessage="1" showErrorMessage="1" prompt="Hệ số điều chỉnh Máy thi công. Tra trong văn bản hướng dẫn của địa phương nơi xây dựng công trình hoặc của cơ quan có thẩm quyền." sqref="P1"/>
    <dataValidation allowBlank="1" showInputMessage="1" showErrorMessage="1" prompt="Định mức trực tiếp phí khác tra bảng 3.7 Thông tư 04/2010/TT-BXD" sqref="Q1"/>
    <dataValidation allowBlank="1" showInputMessage="1" showErrorMessage="1" prompt="Định mức chi phí chung tra bảng 3.8 Thông tư 04/2010/TT-BXD" sqref="R1"/>
    <dataValidation allowBlank="1" showInputMessage="1" showErrorMessage="1" prompt="Định mức thu nhập chịu thuế tính trước tra bảng 3.8 Thông tư 04/2010/TT-BXD" sqref="S1"/>
    <dataValidation allowBlank="1" showInputMessage="1" showErrorMessage="1" prompt="Mức thuế giá trị gia tăng theo Thông tư số 129/2008/TT- BTC của Bộ Tài chính" sqref="T1"/>
    <dataValidation allowBlank="1" showInputMessage="1" showErrorMessage="1" prompt="Chi phí nhà tạm tại hiện trường để ở và điều hành thi công. Tỷ lệ 2% đối với các công trình đi theo tuyến, 1% đối với các công trình còn lại. Quy định tại Thông tư 04/2010/TT-BXD." sqref="U1 Z1"/>
    <dataValidation allowBlank="1" showInputMessage="1" showErrorMessage="1" prompt="Định mức tỷ lệ chi phí chung tính trên chi phí nhân công." sqref="V1:V2"/>
    <dataValidation allowBlank="1" showInputMessage="1" showErrorMessage="1" prompt="Có thể tra mã đơn giá ở đây." sqref="D7"/>
    <dataValidation allowBlank="1" showInputMessage="1" showErrorMessage="1" prompt="Có thể tra vật tư ở đây" sqref="E7"/>
  </dataValidations>
  <hyperlinks>
    <hyperlink ref="A1" location="'Dutoan XD'!A1" tooltip="Về bảng Dự toán XD" display="BẢNG PHÂN TÍCH ĐƠN GIÁ CHI TIẾT"/>
  </hyperlinks>
  <printOptions horizontalCentered="1"/>
  <pageMargins left="0.51181102362204722" right="0.15748031496062992" top="0.51181102362204722" bottom="0.51181102362204722" header="0.23622047244094491" footer="0.23622047244094491"/>
  <pageSetup paperSize="9" orientation="portrait" blackAndWhite="1" horizontalDpi="300" verticalDpi="300" r:id="rId1"/>
  <headerFooter>
    <oddHeader>&amp;L&amp;"+,nghiêng"&amp;10Dự toán GXD - www.giaxaydung.vn</oddHeader>
    <oddFooter>&amp;C&amp;P</oddFooter>
  </headerFooter>
  <ignoredErrors>
    <ignoredError sqref="A2:A3" unlockedFormula="1"/>
  </ignoredErrors>
</worksheet>
</file>

<file path=xl/worksheets/sheet12.xml><?xml version="1.0" encoding="utf-8"?>
<worksheet xmlns="http://schemas.openxmlformats.org/spreadsheetml/2006/main" xmlns:r="http://schemas.openxmlformats.org/officeDocument/2006/relationships">
  <sheetPr codeName="shPTVTXD">
    <tabColor rgb="FFFFFF99"/>
  </sheetPr>
  <dimension ref="A1:I17"/>
  <sheetViews>
    <sheetView showZeros="0" workbookViewId="0"/>
  </sheetViews>
  <sheetFormatPr defaultColWidth="9" defaultRowHeight="15.75"/>
  <cols>
    <col min="1" max="1" width="3.85546875" style="39" customWidth="1"/>
    <col min="2" max="2" width="6.5703125" style="35" customWidth="1"/>
    <col min="3" max="3" width="56.42578125" style="35" customWidth="1"/>
    <col min="4" max="4" width="7" style="359" customWidth="1"/>
    <col min="5" max="5" width="11.7109375" style="359" customWidth="1"/>
    <col min="6" max="6" width="13.28515625" style="360" customWidth="1"/>
    <col min="7" max="7" width="13.5703125" style="512" customWidth="1"/>
    <col min="8" max="8" width="11.7109375" style="513" customWidth="1"/>
    <col min="9" max="9" width="12.7109375" style="360" customWidth="1"/>
    <col min="10" max="16384" width="9" style="28"/>
  </cols>
  <sheetData>
    <row r="1" spans="1:9" ht="27.95" customHeight="1">
      <c r="A1" s="490" t="s">
        <v>1018</v>
      </c>
      <c r="B1" s="352"/>
      <c r="C1" s="352"/>
      <c r="D1" s="352"/>
      <c r="E1" s="352"/>
      <c r="F1" s="353"/>
      <c r="G1" s="354"/>
      <c r="H1" s="354"/>
      <c r="I1" s="353"/>
    </row>
    <row r="2" spans="1:9" ht="20.100000000000001" customHeight="1">
      <c r="A2" s="3" t="str">
        <f>'Bia1'!D42&amp;'Bia1'!E42</f>
        <v>CÔNG TRÌNH: NHÀ BIỆT THỰ GXD</v>
      </c>
      <c r="B2" s="355"/>
      <c r="C2" s="355"/>
      <c r="D2" s="355"/>
      <c r="E2" s="355"/>
      <c r="F2" s="356"/>
      <c r="G2" s="357"/>
      <c r="H2" s="357"/>
      <c r="I2" s="356"/>
    </row>
    <row r="3" spans="1:9" ht="20.100000000000001" customHeight="1">
      <c r="A3" s="3" t="str">
        <f>'Bia1'!D43&amp;'Bia1'!E43</f>
        <v>HẠNG MỤC: ĐỔI BẢNG MÃ FONT RẤT ĐƠN GIẢN TRONG DỰ TOÁN GXD</v>
      </c>
      <c r="B3" s="355"/>
      <c r="C3" s="355"/>
      <c r="D3" s="355"/>
      <c r="E3" s="355"/>
      <c r="F3" s="356"/>
      <c r="G3" s="357"/>
      <c r="H3" s="357"/>
      <c r="I3" s="356"/>
    </row>
    <row r="4" spans="1:9">
      <c r="A4" s="28"/>
      <c r="G4" s="361"/>
      <c r="H4" s="361"/>
    </row>
    <row r="5" spans="1:9" ht="25.5" customHeight="1">
      <c r="A5" s="372" t="s">
        <v>660</v>
      </c>
      <c r="B5" s="371" t="s">
        <v>327</v>
      </c>
      <c r="C5" s="372" t="s">
        <v>1013</v>
      </c>
      <c r="D5" s="372" t="s">
        <v>304</v>
      </c>
      <c r="E5" s="372" t="s">
        <v>328</v>
      </c>
      <c r="F5" s="998" t="s">
        <v>1016</v>
      </c>
      <c r="G5" s="509" t="s">
        <v>1014</v>
      </c>
      <c r="H5" s="509" t="s">
        <v>331</v>
      </c>
      <c r="I5" s="998" t="s">
        <v>306</v>
      </c>
    </row>
    <row r="6" spans="1:9">
      <c r="A6" s="872" t="s">
        <v>908</v>
      </c>
      <c r="B6" s="872" t="s">
        <v>911</v>
      </c>
      <c r="C6" s="872" t="s">
        <v>912</v>
      </c>
      <c r="D6" s="872" t="s">
        <v>913</v>
      </c>
      <c r="E6" s="872" t="s">
        <v>914</v>
      </c>
      <c r="F6" s="872" t="s">
        <v>915</v>
      </c>
      <c r="G6" s="872" t="s">
        <v>917</v>
      </c>
      <c r="H6" s="872" t="s">
        <v>918</v>
      </c>
      <c r="I6" s="872" t="s">
        <v>923</v>
      </c>
    </row>
    <row r="15" spans="1:9">
      <c r="A15" s="999" t="s">
        <v>127</v>
      </c>
    </row>
    <row r="16" spans="1:9">
      <c r="A16" s="1000" t="s">
        <v>1017</v>
      </c>
    </row>
    <row r="17" spans="1:1">
      <c r="A17" s="1000" t="s">
        <v>1015</v>
      </c>
    </row>
  </sheetData>
  <phoneticPr fontId="87" type="noConversion"/>
  <hyperlinks>
    <hyperlink ref="A1" location="Gxd!A1" tooltip="Về bảng Gxd" display="BẢNG GIÁ TRỊ CHÊNH LỆCH VẬT LIỆU TÍNH VÀO SAU CHI PHÍ XÂY DỰNG TRƯỚC THUẾ"/>
  </hyperlinks>
  <printOptions horizontalCentered="1"/>
  <pageMargins left="0.75" right="0.25" top="0.5" bottom="0.5" header="0.25" footer="0.25"/>
  <pageSetup paperSize="9" orientation="landscape" blackAndWhite="1" horizontalDpi="300" verticalDpi="300" r:id="rId1"/>
  <headerFooter>
    <oddHeader>&amp;L&amp;"+,nghiêng"&amp;10Dự toán GXD - www.giaxaydung.vn</oddHeader>
    <oddFooter>&amp;C&amp;P</oddFooter>
  </headerFooter>
  <ignoredErrors>
    <ignoredError sqref="A2:A3" unlockedFormula="1"/>
  </ignoredErrors>
</worksheet>
</file>

<file path=xl/worksheets/sheet13.xml><?xml version="1.0" encoding="utf-8"?>
<worksheet xmlns="http://schemas.openxmlformats.org/spreadsheetml/2006/main" xmlns:r="http://schemas.openxmlformats.org/officeDocument/2006/relationships">
  <sheetPr codeName="shTHXD">
    <tabColor rgb="FFFFFF99"/>
  </sheetPr>
  <dimension ref="A1:L7"/>
  <sheetViews>
    <sheetView showZeros="0" workbookViewId="0">
      <selection activeCell="B7" sqref="B7"/>
    </sheetView>
  </sheetViews>
  <sheetFormatPr defaultColWidth="9" defaultRowHeight="15.75"/>
  <cols>
    <col min="1" max="1" width="4.85546875" style="39" customWidth="1"/>
    <col min="2" max="2" width="8.5703125" style="508" customWidth="1"/>
    <col min="3" max="3" width="36.7109375" style="612" customWidth="1"/>
    <col min="4" max="4" width="7.28515625" style="359" customWidth="1"/>
    <col min="5" max="5" width="12.5703125" style="513" customWidth="1"/>
    <col min="6" max="6" width="12.42578125" style="367" customWidth="1"/>
    <col min="7" max="7" width="12.5703125" style="367" customWidth="1"/>
    <col min="8" max="8" width="13.5703125" style="367" customWidth="1"/>
    <col min="9" max="9" width="15" style="367" customWidth="1"/>
    <col min="10" max="11" width="9" style="28" hidden="1" customWidth="1"/>
    <col min="12" max="14" width="9" style="28" customWidth="1"/>
    <col min="15" max="16384" width="9" style="28"/>
  </cols>
  <sheetData>
    <row r="1" spans="1:12" ht="27.95" customHeight="1">
      <c r="A1" s="905" t="s">
        <v>646</v>
      </c>
      <c r="B1" s="1259"/>
      <c r="C1" s="374"/>
      <c r="D1" s="374"/>
      <c r="E1" s="1242"/>
      <c r="F1" s="365"/>
      <c r="G1" s="365"/>
      <c r="H1" s="365"/>
      <c r="I1" s="365"/>
    </row>
    <row r="2" spans="1:12" ht="20.100000000000001" customHeight="1">
      <c r="A2" s="3" t="str">
        <f>'Bia1'!D42&amp;'Bia1'!E42</f>
        <v>CÔNG TRÌNH: NHÀ BIỆT THỰ GXD</v>
      </c>
      <c r="B2" s="616"/>
      <c r="C2" s="355"/>
      <c r="D2" s="355"/>
      <c r="E2" s="1243"/>
      <c r="F2" s="366"/>
      <c r="G2" s="366"/>
      <c r="H2" s="366"/>
      <c r="I2" s="366"/>
    </row>
    <row r="3" spans="1:12" ht="20.100000000000001" customHeight="1">
      <c r="A3" s="3" t="str">
        <f>'Bia1'!D43&amp;'Bia1'!E43</f>
        <v>HẠNG MỤC: ĐỔI BẢNG MÃ FONT RẤT ĐƠN GIẢN TRONG DỰ TOÁN GXD</v>
      </c>
      <c r="B3" s="616"/>
      <c r="C3" s="355"/>
      <c r="D3" s="355"/>
      <c r="E3" s="1243"/>
      <c r="F3" s="366"/>
      <c r="G3" s="366"/>
      <c r="H3" s="366"/>
      <c r="I3" s="366"/>
    </row>
    <row r="4" spans="1:12">
      <c r="A4" s="28"/>
      <c r="I4" s="280" t="s">
        <v>956</v>
      </c>
    </row>
    <row r="5" spans="1:12" ht="36">
      <c r="A5" s="281" t="s">
        <v>660</v>
      </c>
      <c r="B5" s="281" t="s">
        <v>327</v>
      </c>
      <c r="C5" s="281" t="s">
        <v>330</v>
      </c>
      <c r="D5" s="281" t="s">
        <v>304</v>
      </c>
      <c r="E5" s="1244" t="s">
        <v>328</v>
      </c>
      <c r="F5" s="373" t="s">
        <v>782</v>
      </c>
      <c r="G5" s="373" t="s">
        <v>900</v>
      </c>
      <c r="H5" s="281" t="s">
        <v>331</v>
      </c>
      <c r="I5" s="281" t="s">
        <v>306</v>
      </c>
    </row>
    <row r="6" spans="1:12">
      <c r="A6" s="872" t="s">
        <v>908</v>
      </c>
      <c r="B6" s="872" t="s">
        <v>911</v>
      </c>
      <c r="C6" s="872" t="s">
        <v>912</v>
      </c>
      <c r="D6" s="872" t="s">
        <v>913</v>
      </c>
      <c r="E6" s="1245" t="s">
        <v>914</v>
      </c>
      <c r="F6" s="872" t="s">
        <v>915</v>
      </c>
      <c r="G6" s="872" t="s">
        <v>917</v>
      </c>
      <c r="H6" s="872" t="s">
        <v>925</v>
      </c>
      <c r="I6" s="872" t="s">
        <v>926</v>
      </c>
      <c r="J6" s="39"/>
      <c r="K6" s="39"/>
    </row>
    <row r="7" spans="1:12" s="794" customFormat="1">
      <c r="A7" s="39"/>
      <c r="B7" s="508"/>
      <c r="C7" s="882"/>
      <c r="D7" s="359"/>
      <c r="E7" s="513"/>
      <c r="F7" s="367"/>
      <c r="G7" s="367"/>
      <c r="H7" s="367"/>
      <c r="I7" s="367"/>
      <c r="J7" s="28"/>
      <c r="K7" s="28"/>
      <c r="L7" s="28"/>
    </row>
  </sheetData>
  <phoneticPr fontId="87" type="noConversion"/>
  <conditionalFormatting sqref="G6:G65535">
    <cfRule type="cellIs" dxfId="26" priority="3" stopIfTrue="1" operator="greaterThan">
      <formula>F6</formula>
    </cfRule>
    <cfRule type="cellIs" dxfId="25" priority="4" stopIfTrue="1" operator="lessThan">
      <formula>F6</formula>
    </cfRule>
  </conditionalFormatting>
  <conditionalFormatting sqref="G6">
    <cfRule type="cellIs" dxfId="24" priority="1" stopIfTrue="1" operator="greaterThan">
      <formula>F6</formula>
    </cfRule>
    <cfRule type="cellIs" dxfId="23" priority="2" stopIfTrue="1" operator="lessThan">
      <formula>F6</formula>
    </cfRule>
  </conditionalFormatting>
  <dataValidations count="4">
    <dataValidation allowBlank="1" showInputMessage="1" showErrorMessage="1" prompt="Giá gốc là giá vật liệu dùng để tính ra quyển đơn giá địa phương công bố. Có thể tra cứu trong quyển đơn giá địa phương." sqref="F5"/>
    <dataValidation allowBlank="1" showInputMessage="1" showErrorMessage="1" prompt="Giá vật liệu tính đến hiện trường xây dựng, thi công. Bạn có thể tìm giá và gõ trực tiếp vào cột này hoặc tính ở sheet VLHT XD rồi kết nối sang đây." sqref="G5"/>
    <dataValidation allowBlank="1" showInputMessage="1" showErrorMessage="1" prompt="Cộng tổng khối lượng các vật liệu cùng loại bên sheet DGCT XD." sqref="E5"/>
    <dataValidation allowBlank="1" showInputMessage="1" showErrorMessage="1" prompt="Có thể tra vật tư ở đây" sqref="B7"/>
  </dataValidations>
  <printOptions horizontalCentered="1"/>
  <pageMargins left="0.74803149606299213" right="0.23622047244094491" top="0.74803149606299213" bottom="0.51181102362204722" header="0.23622047244094491" footer="0.23622047244094491"/>
  <pageSetup paperSize="9" orientation="landscape" blackAndWhite="1" horizontalDpi="300" verticalDpi="300" r:id="rId1"/>
  <headerFooter>
    <oddHeader>&amp;L&amp;"+,nghiêng"&amp;10Dự toán GXD - www.giaxaydung.vn</oddHeader>
    <oddFooter>&amp;C&amp;P</oddFooter>
  </headerFooter>
  <ignoredErrors>
    <ignoredError sqref="A2:A3" unlockedFormula="1"/>
  </ignoredErrors>
</worksheet>
</file>

<file path=xl/worksheets/sheet14.xml><?xml version="1.0" encoding="utf-8"?>
<worksheet xmlns="http://schemas.openxmlformats.org/spreadsheetml/2006/main" xmlns:r="http://schemas.openxmlformats.org/officeDocument/2006/relationships">
  <sheetPr codeName="shVLHTXD">
    <tabColor rgb="FFFFFF00"/>
  </sheetPr>
  <dimension ref="A1:W17"/>
  <sheetViews>
    <sheetView showZeros="0" workbookViewId="0">
      <selection activeCell="B8" sqref="B8"/>
    </sheetView>
  </sheetViews>
  <sheetFormatPr defaultColWidth="9" defaultRowHeight="15.75"/>
  <cols>
    <col min="1" max="1" width="3.7109375" style="529" customWidth="1"/>
    <col min="2" max="2" width="8.5703125" style="592" customWidth="1"/>
    <col min="3" max="3" width="18.85546875" style="530" customWidth="1"/>
    <col min="4" max="4" width="4.5703125" style="531" customWidth="1"/>
    <col min="5" max="5" width="11.7109375" style="541" customWidth="1"/>
    <col min="6" max="6" width="6.5703125" style="535" customWidth="1"/>
    <col min="7" max="7" width="6.5703125" style="533" customWidth="1"/>
    <col min="8" max="8" width="4.85546875" style="534" customWidth="1"/>
    <col min="9" max="9" width="6" style="560" customWidth="1"/>
    <col min="10" max="10" width="6.7109375" style="532" customWidth="1"/>
    <col min="11" max="12" width="5.5703125" style="524" customWidth="1"/>
    <col min="13" max="13" width="7.42578125" style="560" customWidth="1"/>
    <col min="14" max="15" width="7.5703125" style="524" customWidth="1"/>
    <col min="16" max="16" width="7.140625" style="524" customWidth="1"/>
    <col min="17" max="17" width="7.42578125" style="524" customWidth="1"/>
    <col min="18" max="18" width="8.5703125" style="535" customWidth="1"/>
    <col min="19" max="19" width="8.42578125" style="524" customWidth="1"/>
    <col min="20" max="20" width="8" style="524" customWidth="1"/>
    <col min="21" max="22" width="11.7109375" style="560" customWidth="1"/>
    <col min="23" max="23" width="9" style="524" customWidth="1"/>
    <col min="24" max="16384" width="9" style="46"/>
  </cols>
  <sheetData>
    <row r="1" spans="1:23" s="28" customFormat="1" ht="27.95" customHeight="1">
      <c r="A1" s="4" t="s">
        <v>604</v>
      </c>
      <c r="B1" s="615"/>
      <c r="C1" s="352"/>
      <c r="D1" s="352"/>
      <c r="E1" s="352"/>
      <c r="F1" s="353"/>
      <c r="G1" s="375"/>
      <c r="H1" s="365"/>
      <c r="I1" s="557"/>
      <c r="J1" s="374"/>
      <c r="K1" s="374"/>
      <c r="L1" s="374"/>
      <c r="M1" s="557"/>
      <c r="N1" s="374"/>
      <c r="O1" s="374"/>
      <c r="P1" s="374"/>
      <c r="Q1" s="374"/>
      <c r="R1" s="353"/>
      <c r="S1" s="374"/>
      <c r="T1" s="374"/>
      <c r="U1" s="557"/>
      <c r="V1" s="557"/>
      <c r="W1" s="374"/>
    </row>
    <row r="2" spans="1:23" s="28" customFormat="1" ht="20.100000000000001" customHeight="1">
      <c r="A2" s="3" t="str">
        <f>'Bia1'!D42&amp;'Bia1'!E42</f>
        <v>CÔNG TRÌNH: NHÀ BIỆT THỰ GXD</v>
      </c>
      <c r="B2" s="615"/>
      <c r="C2" s="355"/>
      <c r="D2" s="355"/>
      <c r="E2" s="355"/>
      <c r="F2" s="356"/>
      <c r="G2" s="376"/>
      <c r="H2" s="366"/>
      <c r="I2" s="558"/>
      <c r="J2" s="279"/>
      <c r="K2" s="279"/>
      <c r="L2" s="279"/>
      <c r="M2" s="558"/>
      <c r="N2" s="279"/>
      <c r="O2" s="279"/>
      <c r="P2" s="279"/>
      <c r="Q2" s="279"/>
      <c r="R2" s="356"/>
      <c r="S2" s="279"/>
      <c r="T2" s="279"/>
      <c r="U2" s="558"/>
      <c r="V2" s="558"/>
      <c r="W2" s="279"/>
    </row>
    <row r="3" spans="1:23" s="28" customFormat="1" ht="20.100000000000001" customHeight="1">
      <c r="A3" s="3" t="str">
        <f>'Bia1'!D43&amp;'Bia1'!E43</f>
        <v>HẠNG MỤC: ĐỔI BẢNG MÃ FONT RẤT ĐƠN GIẢN TRONG DỰ TOÁN GXD</v>
      </c>
      <c r="B3" s="615"/>
      <c r="C3" s="355"/>
      <c r="D3" s="355"/>
      <c r="E3" s="355"/>
      <c r="F3" s="356"/>
      <c r="G3" s="376"/>
      <c r="H3" s="366"/>
      <c r="I3" s="558"/>
      <c r="J3" s="279"/>
      <c r="K3" s="279"/>
      <c r="L3" s="279"/>
      <c r="M3" s="558"/>
      <c r="N3" s="279"/>
      <c r="O3" s="279"/>
      <c r="P3" s="279"/>
      <c r="Q3" s="279"/>
      <c r="R3" s="356"/>
      <c r="S3" s="279"/>
      <c r="T3" s="279"/>
      <c r="U3" s="558"/>
      <c r="V3" s="558"/>
      <c r="W3" s="279"/>
    </row>
    <row r="4" spans="1:23" s="28" customFormat="1">
      <c r="B4" s="508"/>
      <c r="C4" s="35"/>
      <c r="D4" s="359"/>
      <c r="E4" s="359"/>
      <c r="F4" s="360"/>
      <c r="G4" s="377"/>
      <c r="H4" s="367"/>
      <c r="I4" s="617"/>
      <c r="M4" s="617"/>
      <c r="R4" s="360"/>
      <c r="U4" s="617"/>
      <c r="V4" s="520" t="s">
        <v>956</v>
      </c>
    </row>
    <row r="5" spans="1:23" s="28" customFormat="1" ht="15.75" customHeight="1">
      <c r="A5" s="1312" t="s">
        <v>660</v>
      </c>
      <c r="B5" s="1312" t="s">
        <v>327</v>
      </c>
      <c r="C5" s="1312" t="s">
        <v>333</v>
      </c>
      <c r="D5" s="1312" t="s">
        <v>304</v>
      </c>
      <c r="E5" s="1314" t="s">
        <v>328</v>
      </c>
      <c r="F5" s="1310" t="s">
        <v>334</v>
      </c>
      <c r="G5" s="1312" t="s">
        <v>335</v>
      </c>
      <c r="H5" s="1312" t="s">
        <v>336</v>
      </c>
      <c r="I5" s="1318" t="s">
        <v>337</v>
      </c>
      <c r="J5" s="1312" t="s">
        <v>338</v>
      </c>
      <c r="K5" s="1312" t="s">
        <v>339</v>
      </c>
      <c r="L5" s="1312" t="s">
        <v>828</v>
      </c>
      <c r="M5" s="1318" t="s">
        <v>340</v>
      </c>
      <c r="N5" s="834" t="s">
        <v>341</v>
      </c>
      <c r="O5" s="835"/>
      <c r="P5" s="835"/>
      <c r="Q5" s="835"/>
      <c r="R5" s="835"/>
      <c r="S5" s="836"/>
      <c r="T5" s="1312" t="s">
        <v>342</v>
      </c>
      <c r="U5" s="1318" t="s">
        <v>343</v>
      </c>
      <c r="V5" s="1318" t="s">
        <v>344</v>
      </c>
      <c r="W5" s="1316" t="s">
        <v>345</v>
      </c>
    </row>
    <row r="6" spans="1:23" s="28" customFormat="1" ht="56.25" customHeight="1">
      <c r="A6" s="1313"/>
      <c r="B6" s="1313" t="s">
        <v>302</v>
      </c>
      <c r="C6" s="1313"/>
      <c r="D6" s="1313"/>
      <c r="E6" s="1315"/>
      <c r="F6" s="1311"/>
      <c r="G6" s="1313"/>
      <c r="H6" s="1313"/>
      <c r="I6" s="1319"/>
      <c r="J6" s="1313"/>
      <c r="K6" s="1313"/>
      <c r="L6" s="1313"/>
      <c r="M6" s="1319"/>
      <c r="N6" s="837" t="s">
        <v>346</v>
      </c>
      <c r="O6" s="837" t="s">
        <v>347</v>
      </c>
      <c r="P6" s="837" t="s">
        <v>348</v>
      </c>
      <c r="Q6" s="837" t="s">
        <v>349</v>
      </c>
      <c r="R6" s="837" t="s">
        <v>350</v>
      </c>
      <c r="S6" s="837" t="s">
        <v>351</v>
      </c>
      <c r="T6" s="1313"/>
      <c r="U6" s="1319"/>
      <c r="V6" s="1319"/>
      <c r="W6" s="1317"/>
    </row>
    <row r="7" spans="1:23" s="876" customFormat="1" ht="15.95" customHeight="1">
      <c r="A7" s="1213" t="s">
        <v>908</v>
      </c>
      <c r="B7" s="1214" t="s">
        <v>911</v>
      </c>
      <c r="C7" s="1215" t="s">
        <v>912</v>
      </c>
      <c r="D7" s="1215" t="s">
        <v>913</v>
      </c>
      <c r="E7" s="1216" t="s">
        <v>914</v>
      </c>
      <c r="F7" s="1217" t="s">
        <v>915</v>
      </c>
      <c r="G7" s="1218" t="s">
        <v>917</v>
      </c>
      <c r="H7" s="1219" t="s">
        <v>918</v>
      </c>
      <c r="I7" s="1220" t="s">
        <v>923</v>
      </c>
      <c r="J7" s="1218" t="s">
        <v>927</v>
      </c>
      <c r="K7" s="1213" t="s">
        <v>928</v>
      </c>
      <c r="L7" s="1213" t="s">
        <v>929</v>
      </c>
      <c r="M7" s="1221" t="s">
        <v>930</v>
      </c>
      <c r="N7" s="1222" t="s">
        <v>931</v>
      </c>
      <c r="O7" s="1222" t="s">
        <v>932</v>
      </c>
      <c r="P7" s="1222" t="s">
        <v>933</v>
      </c>
      <c r="Q7" s="1222" t="s">
        <v>934</v>
      </c>
      <c r="R7" s="1217" t="s">
        <v>935</v>
      </c>
      <c r="S7" s="1222" t="s">
        <v>936</v>
      </c>
      <c r="T7" s="1222" t="s">
        <v>937</v>
      </c>
      <c r="U7" s="1221" t="s">
        <v>938</v>
      </c>
      <c r="V7" s="1221" t="s">
        <v>939</v>
      </c>
      <c r="W7" s="1222" t="s">
        <v>940</v>
      </c>
    </row>
    <row r="8" spans="1:23" s="794" customFormat="1">
      <c r="A8" s="802"/>
      <c r="B8" s="796"/>
      <c r="C8" s="803"/>
      <c r="D8" s="804"/>
      <c r="E8" s="805"/>
      <c r="F8" s="806"/>
      <c r="G8" s="807"/>
      <c r="H8" s="808"/>
      <c r="I8" s="809"/>
      <c r="J8" s="810"/>
      <c r="K8" s="811"/>
      <c r="L8" s="811"/>
      <c r="M8" s="812"/>
      <c r="N8" s="813"/>
      <c r="O8" s="813"/>
      <c r="P8" s="813"/>
      <c r="Q8" s="813"/>
      <c r="R8" s="806"/>
      <c r="S8" s="813"/>
      <c r="T8" s="813"/>
      <c r="U8" s="812"/>
      <c r="V8" s="812"/>
      <c r="W8" s="813"/>
    </row>
    <row r="9" spans="1:23" s="28" customFormat="1">
      <c r="A9" s="529"/>
      <c r="B9" s="592"/>
      <c r="C9" s="530"/>
      <c r="D9" s="531"/>
      <c r="E9" s="541"/>
      <c r="F9" s="535"/>
      <c r="G9" s="533"/>
      <c r="H9" s="534"/>
      <c r="I9" s="560"/>
      <c r="J9" s="532"/>
      <c r="K9" s="524"/>
      <c r="L9" s="524"/>
      <c r="M9" s="559"/>
      <c r="N9" s="521"/>
      <c r="O9" s="521"/>
      <c r="P9" s="521"/>
      <c r="Q9" s="521"/>
      <c r="R9" s="535"/>
      <c r="S9" s="521"/>
      <c r="T9" s="521"/>
      <c r="U9" s="559"/>
      <c r="V9" s="559"/>
      <c r="W9" s="521"/>
    </row>
    <row r="10" spans="1:23" s="28" customFormat="1">
      <c r="A10" s="529"/>
      <c r="B10" s="592"/>
      <c r="C10" s="530"/>
      <c r="D10" s="531"/>
      <c r="E10" s="541"/>
      <c r="F10" s="535"/>
      <c r="G10" s="533"/>
      <c r="H10" s="534"/>
      <c r="I10" s="560"/>
      <c r="J10" s="532"/>
      <c r="K10" s="524"/>
      <c r="L10" s="524"/>
      <c r="M10" s="559"/>
      <c r="N10" s="521"/>
      <c r="O10" s="521"/>
      <c r="P10" s="521"/>
      <c r="Q10" s="521"/>
      <c r="R10" s="535"/>
      <c r="S10" s="521"/>
      <c r="T10" s="521"/>
      <c r="U10" s="559"/>
      <c r="V10" s="559"/>
      <c r="W10" s="521"/>
    </row>
    <row r="11" spans="1:23" s="28" customFormat="1">
      <c r="A11" s="529"/>
      <c r="B11" s="592"/>
      <c r="C11" s="530"/>
      <c r="D11" s="531"/>
      <c r="E11" s="541"/>
      <c r="F11" s="535"/>
      <c r="G11" s="533"/>
      <c r="H11" s="534"/>
      <c r="I11" s="560"/>
      <c r="J11" s="532"/>
      <c r="K11" s="524"/>
      <c r="L11" s="524"/>
      <c r="M11" s="559"/>
      <c r="N11" s="521"/>
      <c r="O11" s="521"/>
      <c r="P11" s="521"/>
      <c r="Q11" s="521"/>
      <c r="R11" s="535"/>
      <c r="S11" s="521"/>
      <c r="T11" s="521"/>
      <c r="U11" s="559"/>
      <c r="V11" s="559"/>
      <c r="W11" s="521"/>
    </row>
    <row r="12" spans="1:23" s="28" customFormat="1">
      <c r="A12" s="529"/>
      <c r="B12" s="592"/>
      <c r="C12" s="530"/>
      <c r="D12" s="531"/>
      <c r="E12" s="541"/>
      <c r="F12" s="535"/>
      <c r="G12" s="533"/>
      <c r="H12" s="534"/>
      <c r="I12" s="560"/>
      <c r="J12" s="532"/>
      <c r="K12" s="524"/>
      <c r="L12" s="524"/>
      <c r="M12" s="559"/>
      <c r="N12" s="521"/>
      <c r="O12" s="521"/>
      <c r="P12" s="521"/>
      <c r="Q12" s="521"/>
      <c r="R12" s="535"/>
      <c r="S12" s="521"/>
      <c r="T12" s="521"/>
      <c r="U12" s="559"/>
      <c r="V12" s="559"/>
      <c r="W12" s="521"/>
    </row>
    <row r="13" spans="1:23" s="28" customFormat="1">
      <c r="A13" s="522"/>
      <c r="B13" s="592"/>
      <c r="C13" s="530"/>
      <c r="D13" s="531"/>
      <c r="E13" s="541"/>
      <c r="F13" s="535"/>
      <c r="G13" s="533"/>
      <c r="H13" s="534"/>
      <c r="I13" s="560"/>
      <c r="J13" s="532"/>
      <c r="K13" s="524"/>
      <c r="L13" s="524"/>
      <c r="M13" s="559"/>
      <c r="N13" s="521"/>
      <c r="O13" s="521"/>
      <c r="P13" s="521"/>
      <c r="Q13" s="521"/>
      <c r="R13" s="535"/>
      <c r="S13" s="521"/>
      <c r="T13" s="521"/>
      <c r="U13" s="559"/>
      <c r="V13" s="559"/>
      <c r="W13" s="521"/>
    </row>
    <row r="14" spans="1:23" s="28" customFormat="1">
      <c r="A14" s="523"/>
      <c r="B14" s="592"/>
      <c r="C14" s="530"/>
      <c r="D14" s="531"/>
      <c r="E14" s="541"/>
      <c r="F14" s="535"/>
      <c r="G14" s="533"/>
      <c r="H14" s="534"/>
      <c r="I14" s="560"/>
      <c r="J14" s="532"/>
      <c r="K14" s="524"/>
      <c r="L14" s="524"/>
      <c r="M14" s="559"/>
      <c r="N14" s="521"/>
      <c r="O14" s="521"/>
      <c r="P14" s="521"/>
      <c r="Q14" s="521"/>
      <c r="R14" s="535"/>
      <c r="S14" s="521"/>
      <c r="T14" s="521"/>
      <c r="U14" s="559"/>
      <c r="V14" s="559"/>
      <c r="W14" s="521"/>
    </row>
    <row r="15" spans="1:23" s="28" customFormat="1">
      <c r="A15" s="523"/>
      <c r="B15" s="592"/>
      <c r="C15" s="530"/>
      <c r="D15" s="531"/>
      <c r="E15" s="541"/>
      <c r="F15" s="535"/>
      <c r="G15" s="533"/>
      <c r="H15" s="534"/>
      <c r="I15" s="560"/>
      <c r="J15" s="532"/>
      <c r="K15" s="524"/>
      <c r="L15" s="524"/>
      <c r="M15" s="560"/>
      <c r="N15" s="524"/>
      <c r="O15" s="524"/>
      <c r="P15" s="524"/>
      <c r="Q15" s="524"/>
      <c r="R15" s="535"/>
      <c r="S15" s="524"/>
      <c r="T15" s="524"/>
      <c r="U15" s="560"/>
      <c r="V15" s="560"/>
      <c r="W15" s="524"/>
    </row>
    <row r="16" spans="1:23">
      <c r="A16" s="523"/>
    </row>
    <row r="17" spans="1:1">
      <c r="A17" s="523"/>
    </row>
  </sheetData>
  <mergeCells count="17">
    <mergeCell ref="W5:W6"/>
    <mergeCell ref="K5:K6"/>
    <mergeCell ref="M5:M6"/>
    <mergeCell ref="G5:G6"/>
    <mergeCell ref="I5:I6"/>
    <mergeCell ref="J5:J6"/>
    <mergeCell ref="T5:T6"/>
    <mergeCell ref="U5:U6"/>
    <mergeCell ref="V5:V6"/>
    <mergeCell ref="H5:H6"/>
    <mergeCell ref="L5:L6"/>
    <mergeCell ref="F5:F6"/>
    <mergeCell ref="A5:A6"/>
    <mergeCell ref="B5:B6"/>
    <mergeCell ref="C5:C6"/>
    <mergeCell ref="D5:D6"/>
    <mergeCell ref="E5:E6"/>
  </mergeCells>
  <phoneticPr fontId="87" type="noConversion"/>
  <dataValidations count="4">
    <dataValidation allowBlank="1" showInputMessage="1" showErrorMessage="1" prompt="Đổi đơn vị tính cước vận chuyển về phù hợp đơn vị vật liệu" sqref="F5:F6"/>
    <dataValidation allowBlank="1" showInputMessage="1" showErrorMessage="1" sqref="B7"/>
    <dataValidation allowBlank="1" showInputMessage="1" showErrorMessage="1" prompt="Trong quyết định công bố cước vận chuyển các địa phương thường có hướng dẫn được tăng thêm cước cho mỗi tấn hàng vận chuyển." sqref="L5:L6"/>
    <dataValidation allowBlank="1" showInputMessage="1" showErrorMessage="1" prompt="Có thể tra vật tư ở đây" sqref="B8"/>
  </dataValidations>
  <hyperlinks>
    <hyperlink ref="A1" location="'DGCT XD'!A1" tooltip="Về bảng đơn giá chi tiết" display="BẢNG TÍNH GIÁ VẬT LIỆU ĐẾN HIỆN TRƯỜNG XÂY DỰNG"/>
    <hyperlink ref="A2" location="'TH&amp;CLVT XD'!A1" tooltip="Về bảng TH và chênh lệch vật tư" display="'TH&amp;CLVT XD'!A1"/>
  </hyperlinks>
  <printOptions horizontalCentered="1"/>
  <pageMargins left="0.75" right="0.25" top="0.5" bottom="0.5" header="0.25" footer="0.25"/>
  <pageSetup paperSize="9" orientation="landscape" blackAndWhite="1" horizontalDpi="300" verticalDpi="300" r:id="rId1"/>
  <headerFooter>
    <oddHeader>&amp;L&amp;"+,nghiêng"&amp;10Dự toán GXD - www.giaxaydung.vn</oddHeader>
    <oddFooter>&amp;C&amp;P</oddFooter>
  </headerFooter>
  <ignoredErrors>
    <ignoredError sqref="A2:A3" unlockedFormula="1"/>
  </ignoredErrors>
</worksheet>
</file>

<file path=xl/worksheets/sheet15.xml><?xml version="1.0" encoding="utf-8"?>
<worksheet xmlns="http://schemas.openxmlformats.org/spreadsheetml/2006/main" xmlns:r="http://schemas.openxmlformats.org/officeDocument/2006/relationships">
  <sheetPr codeName="shPLVXD">
    <tabColor rgb="FFFFFF00"/>
  </sheetPr>
  <dimension ref="A1:H16"/>
  <sheetViews>
    <sheetView showZeros="0" workbookViewId="0">
      <selection activeCell="B7" sqref="B7"/>
    </sheetView>
  </sheetViews>
  <sheetFormatPr defaultRowHeight="15.75"/>
  <cols>
    <col min="1" max="1" width="5" style="514" customWidth="1"/>
    <col min="2" max="3" width="8.5703125" style="514" customWidth="1"/>
    <col min="4" max="4" width="23.42578125" style="514" customWidth="1"/>
    <col min="5" max="5" width="8.42578125" style="514" customWidth="1"/>
    <col min="6" max="6" width="11" style="514" customWidth="1"/>
    <col min="7" max="7" width="10.28515625" style="514" customWidth="1"/>
    <col min="8" max="8" width="11.5703125" style="514" customWidth="1"/>
  </cols>
  <sheetData>
    <row r="1" spans="1:8" s="379" customFormat="1" ht="22.5">
      <c r="A1" s="4" t="s">
        <v>624</v>
      </c>
      <c r="B1" s="378"/>
      <c r="C1" s="378"/>
      <c r="D1" s="378"/>
      <c r="E1" s="378"/>
      <c r="F1" s="378"/>
      <c r="G1" s="378"/>
      <c r="H1" s="378"/>
    </row>
    <row r="2" spans="1:8" s="379" customFormat="1" ht="18.75">
      <c r="A2" s="3" t="str">
        <f>'Bia1'!D42&amp;'Bia1'!E42</f>
        <v>CÔNG TRÌNH: NHÀ BIỆT THỰ GXD</v>
      </c>
      <c r="B2" s="380"/>
      <c r="C2" s="381"/>
      <c r="D2" s="380"/>
      <c r="E2" s="382"/>
      <c r="F2" s="382"/>
      <c r="G2" s="382"/>
      <c r="H2" s="382"/>
    </row>
    <row r="3" spans="1:8" s="379" customFormat="1" ht="18.75">
      <c r="A3" s="3" t="str">
        <f>'Bia1'!D43&amp;'Bia1'!E43</f>
        <v>HẠNG MỤC: ĐỔI BẢNG MÃ FONT RẤT ĐƠN GIẢN TRONG DỰ TOÁN GXD</v>
      </c>
      <c r="B3" s="407"/>
      <c r="C3" s="407"/>
      <c r="D3" s="407"/>
      <c r="E3" s="407"/>
      <c r="F3" s="407"/>
      <c r="G3" s="407"/>
      <c r="H3" s="407"/>
    </row>
    <row r="4" spans="1:8" ht="15">
      <c r="A4"/>
      <c r="B4"/>
      <c r="C4"/>
      <c r="D4"/>
      <c r="E4"/>
      <c r="F4"/>
      <c r="G4"/>
      <c r="H4" s="280" t="s">
        <v>956</v>
      </c>
    </row>
    <row r="5" spans="1:8" ht="24.75" customHeight="1">
      <c r="A5" s="838" t="s">
        <v>660</v>
      </c>
      <c r="B5" s="838" t="s">
        <v>352</v>
      </c>
      <c r="C5" s="838" t="s">
        <v>327</v>
      </c>
      <c r="D5" s="838" t="s">
        <v>333</v>
      </c>
      <c r="E5" s="838" t="s">
        <v>304</v>
      </c>
      <c r="F5" s="838" t="s">
        <v>313</v>
      </c>
      <c r="G5" s="838" t="s">
        <v>305</v>
      </c>
      <c r="H5" s="838" t="s">
        <v>306</v>
      </c>
    </row>
    <row r="6" spans="1:8" ht="15">
      <c r="A6" s="872" t="s">
        <v>908</v>
      </c>
      <c r="B6" s="872" t="s">
        <v>911</v>
      </c>
      <c r="C6" s="872" t="s">
        <v>912</v>
      </c>
      <c r="D6" s="872" t="s">
        <v>913</v>
      </c>
      <c r="E6" s="872" t="s">
        <v>914</v>
      </c>
      <c r="F6" s="872" t="s">
        <v>915</v>
      </c>
      <c r="G6" s="872" t="s">
        <v>917</v>
      </c>
      <c r="H6" s="872" t="s">
        <v>941</v>
      </c>
    </row>
    <row r="7" spans="1:8" s="440" customFormat="1">
      <c r="A7" s="815"/>
      <c r="B7" s="796"/>
      <c r="C7" s="815"/>
      <c r="D7" s="816"/>
      <c r="E7" s="815"/>
      <c r="F7" s="817"/>
      <c r="G7" s="817"/>
      <c r="H7" s="818"/>
    </row>
    <row r="8" spans="1:8">
      <c r="A8" s="525"/>
      <c r="B8" s="525"/>
      <c r="C8" s="525"/>
      <c r="D8" s="526"/>
      <c r="E8" s="525"/>
      <c r="F8" s="527"/>
      <c r="G8" s="527"/>
      <c r="H8" s="528"/>
    </row>
    <row r="9" spans="1:8">
      <c r="A9" s="525"/>
      <c r="B9" s="525"/>
      <c r="C9" s="525"/>
      <c r="D9" s="526"/>
      <c r="E9" s="525"/>
      <c r="F9" s="527"/>
      <c r="G9" s="527"/>
      <c r="H9" s="528"/>
    </row>
    <row r="10" spans="1:8">
      <c r="A10" s="525"/>
      <c r="B10" s="525"/>
      <c r="C10" s="525"/>
      <c r="D10" s="526"/>
      <c r="E10" s="525"/>
      <c r="F10" s="527"/>
      <c r="G10" s="527"/>
      <c r="H10" s="528"/>
    </row>
    <row r="11" spans="1:8">
      <c r="A11" s="525"/>
      <c r="B11" s="525"/>
      <c r="C11" s="525"/>
      <c r="D11" s="526"/>
      <c r="E11" s="525"/>
      <c r="F11" s="527"/>
      <c r="G11" s="527"/>
      <c r="H11" s="528"/>
    </row>
    <row r="12" spans="1:8">
      <c r="A12" s="525"/>
      <c r="B12" s="525"/>
      <c r="C12" s="525"/>
      <c r="D12" s="526"/>
      <c r="E12" s="525"/>
      <c r="F12" s="527"/>
      <c r="G12" s="527"/>
      <c r="H12" s="528"/>
    </row>
    <row r="13" spans="1:8">
      <c r="A13" s="525"/>
      <c r="B13" s="525"/>
      <c r="C13" s="525"/>
      <c r="D13" s="526"/>
      <c r="E13" s="525"/>
      <c r="F13" s="527"/>
      <c r="G13" s="527"/>
      <c r="H13" s="528"/>
    </row>
    <row r="14" spans="1:8">
      <c r="A14" s="525"/>
      <c r="B14" s="525"/>
      <c r="C14" s="525"/>
      <c r="D14" s="526"/>
      <c r="E14" s="525"/>
      <c r="F14" s="527"/>
      <c r="G14" s="527"/>
      <c r="H14" s="528"/>
    </row>
    <row r="15" spans="1:8">
      <c r="A15" s="525"/>
      <c r="B15" s="525"/>
      <c r="C15" s="525"/>
      <c r="D15" s="526"/>
      <c r="E15" s="525"/>
      <c r="F15" s="527"/>
      <c r="G15" s="527"/>
      <c r="H15" s="528"/>
    </row>
    <row r="16" spans="1:8">
      <c r="E16" s="527"/>
      <c r="F16" s="527"/>
      <c r="G16" s="527"/>
    </row>
  </sheetData>
  <phoneticPr fontId="87" type="noConversion"/>
  <conditionalFormatting sqref="G6">
    <cfRule type="cellIs" dxfId="22" priority="1" stopIfTrue="1" operator="greaterThan">
      <formula>F6</formula>
    </cfRule>
    <cfRule type="cellIs" dxfId="21" priority="2" stopIfTrue="1" operator="lessThan">
      <formula>F6</formula>
    </cfRule>
  </conditionalFormatting>
  <dataValidations count="2">
    <dataValidation allowBlank="1" showInputMessage="1" showErrorMessage="1" sqref="B6"/>
    <dataValidation allowBlank="1" showInputMessage="1" showErrorMessage="1" prompt="Có thể tra vữa theo mã hoặc từ khóa ở đây" sqref="B7"/>
  </dataValidations>
  <hyperlinks>
    <hyperlink ref="A1" location="'DGCT XD'!A1" tooltip="Về bảng đơn giá chi tiết" display="BẢNG PHỤ LỤC VỮA THI CÔNG XÂY DỰNG"/>
    <hyperlink ref="A2" location="'TH&amp;CLVT XD'!A1" tooltip="Về bảng TH và chênh lệch vật tư" display="'TH&amp;CLVT XD'!A1"/>
  </hyperlinks>
  <printOptions horizontalCentered="1"/>
  <pageMargins left="0.75" right="0.25" top="0.75" bottom="0.5" header="0.25" footer="0.25"/>
  <pageSetup paperSize="9" orientation="portrait" blackAndWhite="1" horizontalDpi="300" verticalDpi="300" r:id="rId1"/>
  <headerFooter>
    <oddHeader>&amp;L&amp;"+,nghiêng"&amp;10Dự toán GXD - www.giaxaydung.vn</oddHeader>
    <oddFooter>&amp;C&amp;P</oddFooter>
  </headerFooter>
  <ignoredErrors>
    <ignoredError sqref="A2:A3" unlockedFormula="1"/>
  </ignoredErrors>
</worksheet>
</file>

<file path=xl/worksheets/sheet16.xml><?xml version="1.0" encoding="utf-8"?>
<worksheet xmlns="http://schemas.openxmlformats.org/spreadsheetml/2006/main" xmlns:r="http://schemas.openxmlformats.org/officeDocument/2006/relationships">
  <sheetPr codeName="shNCXD">
    <tabColor rgb="FFFFFF00"/>
  </sheetPr>
  <dimension ref="A1:Q280"/>
  <sheetViews>
    <sheetView showZeros="0" workbookViewId="0">
      <selection activeCell="B16" sqref="B16"/>
    </sheetView>
  </sheetViews>
  <sheetFormatPr defaultColWidth="9" defaultRowHeight="18"/>
  <cols>
    <col min="1" max="1" width="4.7109375" style="540" customWidth="1"/>
    <col min="2" max="2" width="8.5703125" style="609" customWidth="1"/>
    <col min="3" max="3" width="18.42578125" style="537" customWidth="1"/>
    <col min="4" max="4" width="8.7109375" style="538" customWidth="1"/>
    <col min="5" max="5" width="9.85546875" style="539" customWidth="1"/>
    <col min="6" max="7" width="12.7109375" style="611" customWidth="1"/>
    <col min="8" max="11" width="10.7109375" style="611" customWidth="1"/>
    <col min="12" max="13" width="11.5703125" style="611" hidden="1" customWidth="1"/>
    <col min="14" max="14" width="12.7109375" style="611" customWidth="1"/>
    <col min="15" max="15" width="11.28515625" style="385" bestFit="1" customWidth="1"/>
    <col min="16" max="16384" width="9" style="385"/>
  </cols>
  <sheetData>
    <row r="1" spans="1:17" s="379" customFormat="1" ht="23.25">
      <c r="A1" s="4" t="s">
        <v>625</v>
      </c>
      <c r="B1" s="606"/>
      <c r="C1" s="494"/>
      <c r="D1" s="378"/>
      <c r="E1" s="378"/>
      <c r="F1" s="378"/>
      <c r="G1" s="378"/>
      <c r="H1" s="378"/>
      <c r="I1" s="378"/>
      <c r="J1" s="378"/>
      <c r="K1" s="378"/>
      <c r="L1" s="378"/>
      <c r="M1" s="378"/>
      <c r="N1" s="378"/>
    </row>
    <row r="2" spans="1:17" s="379" customFormat="1" ht="18.75">
      <c r="A2" s="3" t="str">
        <f>'Bia1'!D42&amp;'Bia1'!E42</f>
        <v>CÔNG TRÌNH: NHÀ BIỆT THỰ GXD</v>
      </c>
      <c r="B2" s="607"/>
      <c r="C2" s="380"/>
      <c r="D2" s="381"/>
      <c r="E2" s="380"/>
      <c r="F2" s="382"/>
      <c r="G2" s="382"/>
      <c r="H2" s="382"/>
      <c r="I2" s="382"/>
      <c r="J2" s="382"/>
      <c r="K2" s="382"/>
      <c r="L2" s="382"/>
      <c r="M2" s="382"/>
      <c r="N2" s="382"/>
    </row>
    <row r="3" spans="1:17" s="379" customFormat="1" ht="18.75">
      <c r="A3" s="3" t="str">
        <f>'Bia1'!D43&amp;'Bia1'!E43</f>
        <v>HẠNG MỤC: ĐỔI BẢNG MÃ FONT RẤT ĐƠN GIẢN TRONG DỰ TOÁN GXD</v>
      </c>
      <c r="B3" s="607"/>
      <c r="C3" s="380"/>
      <c r="D3" s="381"/>
      <c r="E3" s="380"/>
      <c r="F3" s="488"/>
      <c r="G3" s="488"/>
      <c r="H3" s="488"/>
      <c r="I3" s="382"/>
      <c r="J3" s="382"/>
      <c r="K3" s="382"/>
      <c r="L3" s="382"/>
      <c r="M3" s="382"/>
      <c r="N3" s="382"/>
    </row>
    <row r="4" spans="1:17" s="379" customFormat="1" ht="20.100000000000001" customHeight="1">
      <c r="A4" s="383" t="s">
        <v>354</v>
      </c>
      <c r="B4" s="383"/>
      <c r="C4" s="618"/>
      <c r="D4" s="619"/>
      <c r="E4" s="618"/>
      <c r="F4" s="620">
        <f>LTTC</f>
        <v>1050000</v>
      </c>
      <c r="G4" s="621" t="s">
        <v>355</v>
      </c>
      <c r="H4" s="489"/>
      <c r="I4" s="382"/>
      <c r="J4" s="382"/>
      <c r="K4" s="382"/>
      <c r="L4" s="382"/>
      <c r="M4" s="382"/>
      <c r="N4" s="382"/>
    </row>
    <row r="5" spans="1:17" s="379" customFormat="1" ht="20.100000000000001" customHeight="1">
      <c r="A5" s="383" t="s">
        <v>356</v>
      </c>
      <c r="B5" s="383"/>
      <c r="C5" s="618"/>
      <c r="D5" s="619"/>
      <c r="E5" s="618"/>
      <c r="F5" s="620">
        <f>LTTV</f>
        <v>2000000</v>
      </c>
      <c r="G5" s="621" t="s">
        <v>355</v>
      </c>
      <c r="H5" s="489"/>
      <c r="I5" s="382"/>
      <c r="J5" s="382"/>
      <c r="K5" s="382"/>
      <c r="L5" s="382"/>
      <c r="M5" s="382"/>
      <c r="N5" s="382"/>
    </row>
    <row r="6" spans="1:17" s="379" customFormat="1" ht="20.100000000000001" customHeight="1">
      <c r="A6" s="383" t="s">
        <v>357</v>
      </c>
      <c r="B6" s="383"/>
      <c r="C6" s="618"/>
      <c r="D6" s="619"/>
      <c r="E6" s="618"/>
      <c r="F6" s="620"/>
      <c r="G6" s="776"/>
      <c r="H6" s="489"/>
      <c r="I6" s="382"/>
      <c r="J6" s="382"/>
      <c r="K6" s="382"/>
      <c r="L6" s="382"/>
      <c r="M6" s="382"/>
      <c r="N6" s="382"/>
    </row>
    <row r="7" spans="1:17" ht="20.100000000000001" customHeight="1">
      <c r="A7" s="609"/>
      <c r="B7" s="777" t="s">
        <v>840</v>
      </c>
      <c r="C7" s="778"/>
      <c r="D7" s="1320">
        <f>Ts!C24</f>
        <v>0.2</v>
      </c>
      <c r="E7" s="1320"/>
      <c r="F7" s="726">
        <f>$F$4*luudong</f>
        <v>210000</v>
      </c>
      <c r="G7" s="621" t="s">
        <v>355</v>
      </c>
      <c r="H7" s="489"/>
      <c r="I7" s="385"/>
      <c r="J7" s="386"/>
      <c r="L7" s="386"/>
      <c r="M7" s="386"/>
      <c r="N7" s="386"/>
      <c r="O7" s="379"/>
      <c r="P7" s="379"/>
      <c r="Q7" s="379"/>
    </row>
    <row r="8" spans="1:17" ht="20.100000000000001" customHeight="1">
      <c r="A8" s="609"/>
      <c r="B8" s="777" t="s">
        <v>841</v>
      </c>
      <c r="C8" s="778"/>
      <c r="D8" s="1320">
        <f>Ts!C28</f>
        <v>0</v>
      </c>
      <c r="E8" s="1320"/>
      <c r="F8" s="726">
        <f>$F$4*khuvuc</f>
        <v>0</v>
      </c>
      <c r="G8" s="621" t="s">
        <v>355</v>
      </c>
      <c r="H8" s="489"/>
      <c r="I8" s="385"/>
      <c r="J8" s="386"/>
      <c r="L8" s="386"/>
      <c r="M8" s="386"/>
      <c r="N8" s="386"/>
      <c r="O8" s="379"/>
      <c r="P8" s="379"/>
      <c r="Q8" s="379"/>
    </row>
    <row r="9" spans="1:17" ht="20.100000000000001" customHeight="1">
      <c r="A9" s="609"/>
      <c r="B9" s="777" t="s">
        <v>842</v>
      </c>
      <c r="C9" s="778"/>
      <c r="D9" s="1320">
        <f>Ts!C30</f>
        <v>0</v>
      </c>
      <c r="E9" s="1320"/>
      <c r="F9" s="726">
        <f>$F$4*dochai</f>
        <v>0</v>
      </c>
      <c r="G9" s="621" t="s">
        <v>355</v>
      </c>
      <c r="I9" s="385"/>
      <c r="J9" s="386"/>
      <c r="L9" s="386"/>
      <c r="M9" s="386"/>
      <c r="N9" s="385"/>
      <c r="O9" s="379"/>
      <c r="P9" s="379"/>
      <c r="Q9" s="379"/>
    </row>
    <row r="10" spans="1:17" ht="20.100000000000001" customHeight="1">
      <c r="A10" s="609"/>
      <c r="B10" s="780" t="s">
        <v>843</v>
      </c>
      <c r="C10" s="779"/>
      <c r="D10" s="781"/>
      <c r="E10" s="781"/>
      <c r="F10" s="782">
        <f>SUM(F7:F9)</f>
        <v>210000</v>
      </c>
      <c r="G10" s="783" t="s">
        <v>355</v>
      </c>
      <c r="I10" s="385"/>
      <c r="J10" s="386"/>
      <c r="L10" s="386"/>
      <c r="M10" s="386"/>
      <c r="N10" s="385"/>
      <c r="O10" s="379"/>
      <c r="P10" s="379"/>
      <c r="Q10" s="379"/>
    </row>
    <row r="11" spans="1:17" s="379" customFormat="1" ht="15">
      <c r="A11" s="387"/>
      <c r="B11" s="608"/>
      <c r="C11" s="515"/>
      <c r="D11" s="388"/>
      <c r="E11" s="387"/>
      <c r="F11" s="389"/>
      <c r="G11" s="389"/>
      <c r="H11" s="389"/>
      <c r="I11" s="389"/>
      <c r="J11" s="390"/>
      <c r="K11" s="390"/>
      <c r="L11" s="390"/>
      <c r="M11" s="390"/>
      <c r="N11" s="390"/>
    </row>
    <row r="12" spans="1:17" s="379" customFormat="1" ht="15" customHeight="1">
      <c r="A12" s="1324" t="s">
        <v>660</v>
      </c>
      <c r="B12" s="1327" t="s">
        <v>327</v>
      </c>
      <c r="C12" s="1324" t="s">
        <v>781</v>
      </c>
      <c r="D12" s="1324" t="s">
        <v>359</v>
      </c>
      <c r="E12" s="1321" t="s">
        <v>360</v>
      </c>
      <c r="F12" s="1321" t="s">
        <v>361</v>
      </c>
      <c r="G12" s="1321" t="s">
        <v>362</v>
      </c>
      <c r="H12" s="839" t="s">
        <v>363</v>
      </c>
      <c r="I12" s="840"/>
      <c r="J12" s="841"/>
      <c r="K12" s="841"/>
      <c r="L12" s="841"/>
      <c r="M12" s="841"/>
      <c r="N12" s="1321" t="s">
        <v>364</v>
      </c>
    </row>
    <row r="13" spans="1:17" s="379" customFormat="1" ht="32.1" customHeight="1">
      <c r="A13" s="1325"/>
      <c r="B13" s="1328"/>
      <c r="C13" s="1325"/>
      <c r="D13" s="1325"/>
      <c r="E13" s="1322"/>
      <c r="F13" s="1322"/>
      <c r="G13" s="1322" t="s">
        <v>365</v>
      </c>
      <c r="H13" s="838" t="s">
        <v>366</v>
      </c>
      <c r="I13" s="838" t="s">
        <v>367</v>
      </c>
      <c r="J13" s="838" t="s">
        <v>785</v>
      </c>
      <c r="K13" s="838" t="s">
        <v>369</v>
      </c>
      <c r="L13" s="838" t="s">
        <v>370</v>
      </c>
      <c r="M13" s="838" t="s">
        <v>371</v>
      </c>
      <c r="N13" s="1322"/>
    </row>
    <row r="14" spans="1:17" s="379" customFormat="1" ht="15" customHeight="1">
      <c r="A14" s="1326"/>
      <c r="B14" s="1329"/>
      <c r="C14" s="1326"/>
      <c r="D14" s="1326"/>
      <c r="E14" s="1323"/>
      <c r="F14" s="1323"/>
      <c r="G14" s="1323"/>
      <c r="H14" s="842">
        <f>Ts!$C$25</f>
        <v>0.12</v>
      </c>
      <c r="I14" s="842">
        <f>Ts!$C$26</f>
        <v>0.04</v>
      </c>
      <c r="J14" s="842">
        <f>Ts!$C$27</f>
        <v>0</v>
      </c>
      <c r="K14" s="842">
        <f>thuhut</f>
        <v>0</v>
      </c>
      <c r="L14" s="842">
        <f>Ts!$C$31</f>
        <v>0</v>
      </c>
      <c r="M14" s="842">
        <f>Ts!$C$32</f>
        <v>0</v>
      </c>
      <c r="N14" s="1323"/>
    </row>
    <row r="15" spans="1:17" ht="18" customHeight="1">
      <c r="A15" s="1223" t="s">
        <v>908</v>
      </c>
      <c r="B15" s="1224" t="s">
        <v>911</v>
      </c>
      <c r="C15" s="1224" t="s">
        <v>912</v>
      </c>
      <c r="D15" s="1225" t="s">
        <v>913</v>
      </c>
      <c r="E15" s="1226" t="s">
        <v>914</v>
      </c>
      <c r="F15" s="1223" t="s">
        <v>915</v>
      </c>
      <c r="G15" s="1223" t="s">
        <v>917</v>
      </c>
      <c r="H15" s="1223" t="s">
        <v>918</v>
      </c>
      <c r="I15" s="1223" t="s">
        <v>923</v>
      </c>
      <c r="J15" s="1223" t="s">
        <v>927</v>
      </c>
      <c r="K15" s="1223" t="s">
        <v>928</v>
      </c>
      <c r="L15" s="1223" t="s">
        <v>942</v>
      </c>
      <c r="M15" s="1223" t="s">
        <v>943</v>
      </c>
      <c r="N15" s="1223" t="s">
        <v>929</v>
      </c>
    </row>
    <row r="16" spans="1:17" ht="18" customHeight="1">
      <c r="A16" s="536"/>
      <c r="C16" s="863"/>
    </row>
    <row r="17" spans="1:3" ht="18" customHeight="1">
      <c r="A17" s="536"/>
      <c r="C17" s="863"/>
    </row>
    <row r="18" spans="1:3">
      <c r="A18" s="536"/>
      <c r="B18" s="610"/>
      <c r="C18" s="863"/>
    </row>
    <row r="19" spans="1:3">
      <c r="A19" s="536"/>
      <c r="B19" s="610"/>
      <c r="C19" s="863"/>
    </row>
    <row r="20" spans="1:3">
      <c r="A20" s="536"/>
      <c r="B20" s="610"/>
      <c r="C20" s="863"/>
    </row>
    <row r="21" spans="1:3">
      <c r="A21" s="536"/>
      <c r="B21" s="610"/>
      <c r="C21" s="863"/>
    </row>
    <row r="22" spans="1:3">
      <c r="A22" s="536"/>
      <c r="B22" s="610"/>
      <c r="C22" s="863"/>
    </row>
    <row r="23" spans="1:3">
      <c r="A23" s="536"/>
      <c r="B23" s="610"/>
      <c r="C23" s="863"/>
    </row>
    <row r="24" spans="1:3">
      <c r="A24" s="536"/>
      <c r="B24" s="610"/>
      <c r="C24" s="863"/>
    </row>
    <row r="25" spans="1:3">
      <c r="A25" s="536"/>
      <c r="B25" s="610"/>
      <c r="C25" s="863"/>
    </row>
    <row r="26" spans="1:3">
      <c r="A26" s="536"/>
      <c r="B26" s="610"/>
      <c r="C26" s="863"/>
    </row>
    <row r="27" spans="1:3">
      <c r="A27" s="536"/>
      <c r="B27" s="610"/>
      <c r="C27" s="863"/>
    </row>
    <row r="28" spans="1:3">
      <c r="A28" s="536"/>
      <c r="B28" s="610"/>
      <c r="C28" s="863"/>
    </row>
    <row r="29" spans="1:3">
      <c r="A29" s="536"/>
      <c r="B29" s="610"/>
      <c r="C29" s="863"/>
    </row>
    <row r="30" spans="1:3">
      <c r="A30" s="536"/>
      <c r="B30" s="610"/>
      <c r="C30" s="863"/>
    </row>
    <row r="31" spans="1:3">
      <c r="A31" s="536"/>
      <c r="B31" s="610"/>
      <c r="C31" s="863"/>
    </row>
    <row r="32" spans="1:3">
      <c r="A32" s="536"/>
      <c r="B32" s="610"/>
      <c r="C32" s="863"/>
    </row>
    <row r="33" spans="1:3">
      <c r="A33" s="536"/>
      <c r="B33" s="610"/>
      <c r="C33" s="863"/>
    </row>
    <row r="34" spans="1:3" ht="22.5" customHeight="1">
      <c r="A34" s="536"/>
      <c r="B34" s="610"/>
      <c r="C34" s="863"/>
    </row>
    <row r="35" spans="1:3">
      <c r="A35" s="536"/>
      <c r="B35" s="610"/>
      <c r="C35" s="863"/>
    </row>
    <row r="36" spans="1:3">
      <c r="A36" s="536"/>
      <c r="B36" s="610"/>
      <c r="C36" s="863"/>
    </row>
    <row r="37" spans="1:3">
      <c r="A37" s="536"/>
      <c r="B37" s="610"/>
      <c r="C37" s="863"/>
    </row>
    <row r="38" spans="1:3">
      <c r="A38" s="536"/>
      <c r="B38" s="610"/>
      <c r="C38" s="863"/>
    </row>
    <row r="39" spans="1:3">
      <c r="A39" s="536"/>
      <c r="B39" s="610"/>
      <c r="C39" s="863"/>
    </row>
    <row r="40" spans="1:3">
      <c r="A40" s="536"/>
      <c r="B40" s="610"/>
      <c r="C40" s="863"/>
    </row>
    <row r="41" spans="1:3">
      <c r="A41" s="536"/>
      <c r="B41" s="610"/>
      <c r="C41" s="863"/>
    </row>
    <row r="42" spans="1:3">
      <c r="A42" s="536"/>
      <c r="B42" s="610"/>
      <c r="C42" s="863"/>
    </row>
    <row r="43" spans="1:3">
      <c r="A43" s="536"/>
      <c r="B43" s="610"/>
      <c r="C43" s="863"/>
    </row>
    <row r="44" spans="1:3">
      <c r="A44" s="536"/>
      <c r="B44" s="610"/>
      <c r="C44" s="863"/>
    </row>
    <row r="45" spans="1:3">
      <c r="A45" s="536"/>
      <c r="B45" s="610"/>
      <c r="C45" s="863"/>
    </row>
    <row r="46" spans="1:3">
      <c r="A46" s="536"/>
      <c r="B46" s="610"/>
      <c r="C46" s="863"/>
    </row>
    <row r="47" spans="1:3">
      <c r="A47" s="536"/>
      <c r="B47" s="610"/>
      <c r="C47" s="863"/>
    </row>
    <row r="48" spans="1:3">
      <c r="A48" s="536"/>
      <c r="B48" s="610"/>
      <c r="C48" s="863"/>
    </row>
    <row r="49" spans="1:3">
      <c r="A49" s="536"/>
      <c r="B49" s="610"/>
      <c r="C49" s="863"/>
    </row>
    <row r="50" spans="1:3">
      <c r="A50" s="536"/>
      <c r="B50" s="610"/>
      <c r="C50" s="863"/>
    </row>
    <row r="51" spans="1:3" ht="24" customHeight="1">
      <c r="A51" s="536"/>
      <c r="B51" s="610"/>
      <c r="C51" s="863"/>
    </row>
    <row r="52" spans="1:3">
      <c r="A52" s="536"/>
      <c r="B52" s="610"/>
      <c r="C52" s="863"/>
    </row>
    <row r="53" spans="1:3">
      <c r="A53" s="536"/>
      <c r="B53" s="610"/>
      <c r="C53" s="863"/>
    </row>
    <row r="54" spans="1:3">
      <c r="A54" s="536"/>
      <c r="B54" s="610"/>
      <c r="C54" s="863"/>
    </row>
    <row r="55" spans="1:3">
      <c r="A55" s="536"/>
      <c r="B55" s="610"/>
      <c r="C55" s="863"/>
    </row>
    <row r="56" spans="1:3">
      <c r="A56" s="536"/>
      <c r="B56" s="610"/>
      <c r="C56" s="863"/>
    </row>
    <row r="57" spans="1:3">
      <c r="A57" s="536"/>
      <c r="B57" s="610"/>
      <c r="C57" s="863"/>
    </row>
    <row r="58" spans="1:3">
      <c r="A58" s="536"/>
      <c r="B58" s="610"/>
      <c r="C58" s="863"/>
    </row>
    <row r="59" spans="1:3">
      <c r="A59" s="536"/>
      <c r="B59" s="610"/>
      <c r="C59" s="863"/>
    </row>
    <row r="60" spans="1:3">
      <c r="A60" s="536"/>
      <c r="B60" s="610"/>
      <c r="C60" s="863"/>
    </row>
    <row r="61" spans="1:3">
      <c r="A61" s="536"/>
      <c r="B61" s="610"/>
      <c r="C61" s="863"/>
    </row>
    <row r="62" spans="1:3">
      <c r="A62" s="536"/>
      <c r="B62" s="610"/>
      <c r="C62" s="863"/>
    </row>
    <row r="63" spans="1:3">
      <c r="A63" s="536"/>
      <c r="B63" s="610"/>
      <c r="C63" s="863"/>
    </row>
    <row r="64" spans="1:3">
      <c r="A64" s="536"/>
      <c r="B64" s="610"/>
      <c r="C64" s="863"/>
    </row>
    <row r="65" spans="1:3">
      <c r="A65" s="536"/>
      <c r="B65" s="610"/>
      <c r="C65" s="863"/>
    </row>
    <row r="66" spans="1:3">
      <c r="A66" s="536"/>
      <c r="B66" s="610"/>
      <c r="C66" s="863"/>
    </row>
    <row r="67" spans="1:3">
      <c r="A67" s="536"/>
      <c r="B67" s="610"/>
      <c r="C67" s="863"/>
    </row>
    <row r="68" spans="1:3">
      <c r="A68" s="536"/>
      <c r="B68" s="610"/>
      <c r="C68" s="863"/>
    </row>
    <row r="69" spans="1:3">
      <c r="A69" s="536"/>
      <c r="B69" s="610"/>
      <c r="C69" s="863"/>
    </row>
    <row r="70" spans="1:3">
      <c r="A70" s="536"/>
      <c r="B70" s="610"/>
      <c r="C70" s="863"/>
    </row>
    <row r="71" spans="1:3">
      <c r="A71" s="536"/>
      <c r="B71" s="610"/>
      <c r="C71" s="863"/>
    </row>
    <row r="72" spans="1:3">
      <c r="A72" s="536"/>
      <c r="B72" s="610"/>
      <c r="C72" s="863"/>
    </row>
    <row r="73" spans="1:3">
      <c r="A73" s="536"/>
      <c r="B73" s="610"/>
      <c r="C73" s="863"/>
    </row>
    <row r="74" spans="1:3">
      <c r="A74" s="536"/>
      <c r="B74" s="610"/>
      <c r="C74" s="863"/>
    </row>
    <row r="75" spans="1:3">
      <c r="A75" s="536"/>
      <c r="B75" s="610"/>
      <c r="C75" s="863"/>
    </row>
    <row r="76" spans="1:3">
      <c r="A76" s="536"/>
      <c r="B76" s="610"/>
      <c r="C76" s="863"/>
    </row>
    <row r="77" spans="1:3">
      <c r="A77" s="536"/>
      <c r="B77" s="610"/>
      <c r="C77" s="863"/>
    </row>
    <row r="78" spans="1:3">
      <c r="A78" s="536"/>
      <c r="B78" s="610"/>
      <c r="C78" s="863"/>
    </row>
    <row r="79" spans="1:3">
      <c r="A79" s="536"/>
      <c r="B79" s="610"/>
      <c r="C79" s="863"/>
    </row>
    <row r="80" spans="1:3">
      <c r="A80" s="536"/>
      <c r="B80" s="610"/>
      <c r="C80" s="863"/>
    </row>
    <row r="81" spans="1:3">
      <c r="A81" s="536"/>
      <c r="B81" s="610"/>
      <c r="C81" s="863"/>
    </row>
    <row r="82" spans="1:3">
      <c r="A82" s="536"/>
      <c r="B82" s="610"/>
      <c r="C82" s="863"/>
    </row>
    <row r="83" spans="1:3">
      <c r="A83" s="536"/>
      <c r="B83" s="610"/>
      <c r="C83" s="863"/>
    </row>
    <row r="84" spans="1:3">
      <c r="A84" s="536"/>
      <c r="B84" s="610"/>
      <c r="C84" s="863"/>
    </row>
    <row r="85" spans="1:3">
      <c r="A85" s="536"/>
      <c r="B85" s="610"/>
      <c r="C85" s="863"/>
    </row>
    <row r="86" spans="1:3">
      <c r="A86" s="536"/>
      <c r="B86" s="610"/>
      <c r="C86" s="863"/>
    </row>
    <row r="87" spans="1:3">
      <c r="A87" s="536"/>
      <c r="B87" s="610"/>
      <c r="C87" s="863"/>
    </row>
    <row r="88" spans="1:3">
      <c r="A88" s="536"/>
      <c r="B88" s="610"/>
      <c r="C88" s="863"/>
    </row>
    <row r="89" spans="1:3">
      <c r="A89" s="536"/>
      <c r="B89" s="610"/>
      <c r="C89" s="863"/>
    </row>
    <row r="90" spans="1:3">
      <c r="A90" s="536"/>
      <c r="B90" s="610"/>
      <c r="C90" s="863"/>
    </row>
    <row r="91" spans="1:3">
      <c r="A91" s="536"/>
      <c r="B91" s="610"/>
      <c r="C91" s="863"/>
    </row>
    <row r="92" spans="1:3">
      <c r="A92" s="536"/>
      <c r="B92" s="610"/>
      <c r="C92" s="863"/>
    </row>
    <row r="93" spans="1:3">
      <c r="A93" s="536"/>
      <c r="B93" s="610"/>
      <c r="C93" s="863"/>
    </row>
    <row r="94" spans="1:3">
      <c r="A94" s="536"/>
      <c r="B94" s="610"/>
      <c r="C94" s="863"/>
    </row>
    <row r="95" spans="1:3">
      <c r="A95" s="536"/>
      <c r="B95" s="610"/>
      <c r="C95" s="863"/>
    </row>
    <row r="96" spans="1:3">
      <c r="A96" s="536"/>
      <c r="B96" s="610"/>
      <c r="C96" s="863"/>
    </row>
    <row r="97" spans="1:3">
      <c r="A97" s="536"/>
      <c r="B97" s="610"/>
      <c r="C97" s="863"/>
    </row>
    <row r="98" spans="1:3">
      <c r="A98" s="536"/>
      <c r="B98" s="610"/>
      <c r="C98" s="863"/>
    </row>
    <row r="99" spans="1:3">
      <c r="A99" s="536"/>
      <c r="B99" s="610"/>
      <c r="C99" s="863"/>
    </row>
    <row r="100" spans="1:3">
      <c r="A100" s="536"/>
      <c r="B100" s="610"/>
      <c r="C100" s="863"/>
    </row>
    <row r="101" spans="1:3">
      <c r="A101" s="536"/>
      <c r="B101" s="610"/>
      <c r="C101" s="863"/>
    </row>
    <row r="102" spans="1:3">
      <c r="A102" s="536"/>
      <c r="B102" s="610"/>
      <c r="C102" s="863"/>
    </row>
    <row r="103" spans="1:3">
      <c r="A103" s="536"/>
      <c r="B103" s="610"/>
      <c r="C103" s="863"/>
    </row>
    <row r="104" spans="1:3">
      <c r="A104" s="536"/>
      <c r="B104" s="610"/>
      <c r="C104" s="863"/>
    </row>
    <row r="105" spans="1:3">
      <c r="A105" s="536"/>
      <c r="B105" s="610"/>
      <c r="C105" s="863"/>
    </row>
    <row r="106" spans="1:3">
      <c r="A106" s="536"/>
      <c r="B106" s="610"/>
      <c r="C106" s="863"/>
    </row>
    <row r="107" spans="1:3">
      <c r="A107" s="536"/>
      <c r="B107" s="610"/>
      <c r="C107" s="863"/>
    </row>
    <row r="108" spans="1:3">
      <c r="A108" s="536"/>
      <c r="B108" s="610"/>
      <c r="C108" s="863"/>
    </row>
    <row r="109" spans="1:3">
      <c r="A109" s="536"/>
      <c r="B109" s="610"/>
      <c r="C109" s="863"/>
    </row>
    <row r="110" spans="1:3">
      <c r="A110" s="536"/>
      <c r="B110" s="610"/>
      <c r="C110" s="863"/>
    </row>
    <row r="111" spans="1:3">
      <c r="A111" s="536"/>
      <c r="B111" s="610"/>
      <c r="C111" s="863"/>
    </row>
    <row r="112" spans="1:3">
      <c r="A112" s="536"/>
      <c r="B112" s="610"/>
      <c r="C112" s="863"/>
    </row>
    <row r="113" spans="1:3">
      <c r="A113" s="536"/>
      <c r="B113" s="610"/>
      <c r="C113" s="863"/>
    </row>
    <row r="114" spans="1:3">
      <c r="A114" s="536"/>
      <c r="B114" s="610"/>
      <c r="C114" s="863"/>
    </row>
    <row r="115" spans="1:3">
      <c r="A115" s="536"/>
      <c r="B115" s="610"/>
      <c r="C115" s="863"/>
    </row>
    <row r="116" spans="1:3">
      <c r="A116" s="536"/>
      <c r="B116" s="610"/>
      <c r="C116" s="863"/>
    </row>
    <row r="117" spans="1:3">
      <c r="A117" s="536"/>
      <c r="B117" s="610"/>
      <c r="C117" s="863"/>
    </row>
    <row r="118" spans="1:3">
      <c r="A118" s="536"/>
      <c r="B118" s="610"/>
      <c r="C118" s="863"/>
    </row>
    <row r="119" spans="1:3">
      <c r="A119" s="536"/>
      <c r="B119" s="610"/>
      <c r="C119" s="863"/>
    </row>
    <row r="120" spans="1:3">
      <c r="A120" s="536"/>
      <c r="B120" s="610"/>
      <c r="C120" s="863"/>
    </row>
    <row r="121" spans="1:3">
      <c r="A121" s="536"/>
      <c r="B121" s="610"/>
      <c r="C121" s="863"/>
    </row>
    <row r="122" spans="1:3">
      <c r="A122" s="536"/>
      <c r="B122" s="610"/>
      <c r="C122" s="863"/>
    </row>
    <row r="123" spans="1:3">
      <c r="A123" s="536"/>
      <c r="B123" s="610"/>
      <c r="C123" s="863"/>
    </row>
    <row r="124" spans="1:3">
      <c r="A124" s="536"/>
      <c r="B124" s="610"/>
      <c r="C124" s="863"/>
    </row>
    <row r="125" spans="1:3">
      <c r="A125" s="536"/>
      <c r="B125" s="610"/>
      <c r="C125" s="863"/>
    </row>
    <row r="126" spans="1:3">
      <c r="A126" s="536"/>
      <c r="B126" s="610"/>
      <c r="C126" s="863"/>
    </row>
    <row r="127" spans="1:3">
      <c r="A127" s="536"/>
      <c r="B127" s="610"/>
      <c r="C127" s="863"/>
    </row>
    <row r="128" spans="1:3">
      <c r="A128" s="536"/>
      <c r="B128" s="610"/>
      <c r="C128" s="863"/>
    </row>
    <row r="129" spans="1:3">
      <c r="A129" s="536"/>
      <c r="B129" s="610"/>
      <c r="C129" s="863"/>
    </row>
    <row r="130" spans="1:3">
      <c r="A130" s="536"/>
      <c r="B130" s="610"/>
      <c r="C130" s="863"/>
    </row>
    <row r="131" spans="1:3">
      <c r="A131" s="536"/>
      <c r="B131" s="610"/>
      <c r="C131" s="863"/>
    </row>
    <row r="132" spans="1:3">
      <c r="A132" s="536"/>
      <c r="B132" s="610"/>
      <c r="C132" s="863"/>
    </row>
    <row r="133" spans="1:3">
      <c r="A133" s="536"/>
      <c r="B133" s="610"/>
      <c r="C133" s="863"/>
    </row>
    <row r="134" spans="1:3">
      <c r="A134" s="536"/>
      <c r="B134" s="610"/>
      <c r="C134" s="863"/>
    </row>
    <row r="135" spans="1:3">
      <c r="A135" s="536"/>
      <c r="B135" s="610"/>
      <c r="C135" s="863"/>
    </row>
    <row r="136" spans="1:3">
      <c r="A136" s="536"/>
      <c r="B136" s="610"/>
      <c r="C136" s="863"/>
    </row>
    <row r="137" spans="1:3">
      <c r="A137" s="536"/>
      <c r="B137" s="610"/>
      <c r="C137" s="863"/>
    </row>
    <row r="138" spans="1:3">
      <c r="A138" s="536"/>
      <c r="B138" s="610"/>
      <c r="C138" s="863"/>
    </row>
    <row r="139" spans="1:3">
      <c r="A139" s="536"/>
      <c r="B139" s="610"/>
      <c r="C139" s="863"/>
    </row>
    <row r="140" spans="1:3">
      <c r="A140" s="536"/>
      <c r="B140" s="610"/>
      <c r="C140" s="863"/>
    </row>
    <row r="141" spans="1:3">
      <c r="A141" s="536"/>
      <c r="B141" s="610"/>
      <c r="C141" s="863"/>
    </row>
    <row r="142" spans="1:3">
      <c r="A142" s="536"/>
      <c r="B142" s="610"/>
      <c r="C142" s="863"/>
    </row>
    <row r="143" spans="1:3">
      <c r="A143" s="536"/>
      <c r="B143" s="610"/>
      <c r="C143" s="863"/>
    </row>
    <row r="144" spans="1:3">
      <c r="A144" s="536"/>
      <c r="B144" s="610"/>
      <c r="C144" s="863"/>
    </row>
    <row r="145" spans="1:3">
      <c r="A145" s="536"/>
      <c r="B145" s="610"/>
      <c r="C145" s="863"/>
    </row>
    <row r="146" spans="1:3">
      <c r="A146" s="536"/>
      <c r="B146" s="610"/>
      <c r="C146" s="863"/>
    </row>
    <row r="147" spans="1:3">
      <c r="A147" s="536"/>
      <c r="B147" s="610"/>
      <c r="C147" s="863"/>
    </row>
    <row r="148" spans="1:3">
      <c r="A148" s="536"/>
      <c r="B148" s="610"/>
      <c r="C148" s="863"/>
    </row>
    <row r="149" spans="1:3">
      <c r="A149" s="536"/>
      <c r="B149" s="610"/>
      <c r="C149" s="863"/>
    </row>
    <row r="150" spans="1:3">
      <c r="A150" s="536"/>
      <c r="B150" s="610"/>
      <c r="C150" s="863"/>
    </row>
    <row r="151" spans="1:3">
      <c r="A151" s="536"/>
      <c r="B151" s="610"/>
      <c r="C151" s="863"/>
    </row>
    <row r="152" spans="1:3">
      <c r="A152" s="536"/>
      <c r="B152" s="610"/>
      <c r="C152" s="863"/>
    </row>
    <row r="153" spans="1:3">
      <c r="A153" s="536"/>
      <c r="B153" s="610"/>
      <c r="C153" s="863"/>
    </row>
    <row r="154" spans="1:3">
      <c r="A154" s="536"/>
      <c r="B154" s="610"/>
      <c r="C154" s="863"/>
    </row>
    <row r="155" spans="1:3">
      <c r="A155" s="536"/>
      <c r="B155" s="610"/>
      <c r="C155" s="863"/>
    </row>
    <row r="156" spans="1:3">
      <c r="A156" s="536"/>
      <c r="B156" s="610"/>
      <c r="C156" s="863"/>
    </row>
    <row r="157" spans="1:3">
      <c r="A157" s="536"/>
      <c r="B157" s="610"/>
      <c r="C157" s="863"/>
    </row>
    <row r="158" spans="1:3">
      <c r="A158" s="536"/>
      <c r="B158" s="610"/>
      <c r="C158" s="863"/>
    </row>
    <row r="159" spans="1:3">
      <c r="A159" s="536"/>
      <c r="B159" s="610"/>
      <c r="C159" s="863"/>
    </row>
    <row r="160" spans="1:3">
      <c r="A160" s="536"/>
      <c r="B160" s="610"/>
      <c r="C160" s="863"/>
    </row>
    <row r="161" spans="1:3">
      <c r="A161" s="536"/>
      <c r="B161" s="610"/>
      <c r="C161" s="863"/>
    </row>
    <row r="162" spans="1:3">
      <c r="A162" s="536"/>
      <c r="B162" s="610"/>
      <c r="C162" s="863"/>
    </row>
    <row r="163" spans="1:3">
      <c r="A163" s="536"/>
      <c r="B163" s="610"/>
      <c r="C163" s="863"/>
    </row>
    <row r="164" spans="1:3">
      <c r="A164" s="536"/>
      <c r="B164" s="610"/>
      <c r="C164" s="863"/>
    </row>
    <row r="165" spans="1:3">
      <c r="A165" s="536"/>
      <c r="B165" s="610"/>
      <c r="C165" s="863"/>
    </row>
    <row r="166" spans="1:3">
      <c r="A166" s="536"/>
      <c r="B166" s="610"/>
      <c r="C166" s="863"/>
    </row>
    <row r="167" spans="1:3">
      <c r="A167" s="536"/>
      <c r="B167" s="610"/>
      <c r="C167" s="863"/>
    </row>
    <row r="168" spans="1:3">
      <c r="A168" s="536"/>
      <c r="B168" s="610"/>
      <c r="C168" s="863"/>
    </row>
    <row r="169" spans="1:3">
      <c r="A169" s="536"/>
      <c r="B169" s="610"/>
      <c r="C169" s="863"/>
    </row>
    <row r="170" spans="1:3">
      <c r="A170" s="536"/>
      <c r="B170" s="610"/>
      <c r="C170" s="863"/>
    </row>
    <row r="171" spans="1:3">
      <c r="A171" s="536"/>
      <c r="B171" s="610"/>
      <c r="C171" s="863"/>
    </row>
    <row r="172" spans="1:3">
      <c r="A172" s="536"/>
      <c r="B172" s="610"/>
      <c r="C172" s="863"/>
    </row>
    <row r="173" spans="1:3">
      <c r="A173" s="536"/>
      <c r="B173" s="610"/>
      <c r="C173" s="863"/>
    </row>
    <row r="174" spans="1:3" ht="14.1" customHeight="1">
      <c r="A174" s="536"/>
      <c r="B174" s="610"/>
      <c r="C174" s="863"/>
    </row>
    <row r="175" spans="1:3">
      <c r="A175" s="536"/>
      <c r="B175" s="610"/>
      <c r="C175" s="863"/>
    </row>
    <row r="176" spans="1:3">
      <c r="A176" s="536"/>
      <c r="B176" s="610"/>
      <c r="C176" s="863"/>
    </row>
    <row r="177" spans="1:3">
      <c r="A177" s="536"/>
      <c r="B177" s="610"/>
      <c r="C177" s="863"/>
    </row>
    <row r="178" spans="1:3">
      <c r="A178" s="536"/>
      <c r="B178" s="610"/>
      <c r="C178" s="863"/>
    </row>
    <row r="179" spans="1:3" ht="18.75" customHeight="1">
      <c r="A179" s="536"/>
      <c r="B179" s="610"/>
      <c r="C179" s="863"/>
    </row>
    <row r="180" spans="1:3" ht="27" customHeight="1">
      <c r="A180" s="536"/>
      <c r="B180" s="610"/>
      <c r="C180" s="863"/>
    </row>
    <row r="181" spans="1:3">
      <c r="A181" s="536"/>
      <c r="B181" s="610"/>
      <c r="C181" s="863"/>
    </row>
    <row r="182" spans="1:3">
      <c r="A182" s="536"/>
      <c r="B182" s="610"/>
      <c r="C182" s="863"/>
    </row>
    <row r="183" spans="1:3">
      <c r="A183" s="536"/>
      <c r="B183" s="610"/>
      <c r="C183" s="863"/>
    </row>
    <row r="184" spans="1:3">
      <c r="A184" s="536"/>
      <c r="B184" s="610"/>
      <c r="C184" s="863"/>
    </row>
    <row r="185" spans="1:3">
      <c r="A185" s="536"/>
      <c r="B185" s="610"/>
      <c r="C185" s="863"/>
    </row>
    <row r="186" spans="1:3">
      <c r="A186" s="536"/>
      <c r="B186" s="610"/>
      <c r="C186" s="863"/>
    </row>
    <row r="187" spans="1:3">
      <c r="A187" s="536"/>
      <c r="B187" s="610"/>
      <c r="C187" s="863"/>
    </row>
    <row r="188" spans="1:3">
      <c r="A188" s="536"/>
      <c r="B188" s="610"/>
      <c r="C188" s="863"/>
    </row>
    <row r="189" spans="1:3">
      <c r="A189" s="536"/>
      <c r="B189" s="610"/>
      <c r="C189" s="863"/>
    </row>
    <row r="190" spans="1:3">
      <c r="A190" s="536"/>
      <c r="B190" s="610"/>
      <c r="C190" s="863"/>
    </row>
    <row r="191" spans="1:3">
      <c r="A191" s="536"/>
      <c r="B191" s="610"/>
      <c r="C191" s="863"/>
    </row>
    <row r="192" spans="1:3">
      <c r="A192" s="536"/>
      <c r="B192" s="610"/>
      <c r="C192" s="863"/>
    </row>
    <row r="193" spans="1:3">
      <c r="A193" s="536"/>
      <c r="B193" s="610"/>
      <c r="C193" s="863"/>
    </row>
    <row r="194" spans="1:3">
      <c r="A194" s="536"/>
      <c r="B194" s="610"/>
      <c r="C194" s="863"/>
    </row>
    <row r="195" spans="1:3">
      <c r="A195" s="536"/>
      <c r="B195" s="610"/>
      <c r="C195" s="863"/>
    </row>
    <row r="196" spans="1:3">
      <c r="A196" s="536"/>
      <c r="B196" s="610"/>
      <c r="C196" s="863"/>
    </row>
    <row r="197" spans="1:3">
      <c r="A197" s="536"/>
      <c r="B197" s="610"/>
      <c r="C197" s="863"/>
    </row>
    <row r="198" spans="1:3">
      <c r="A198" s="536"/>
      <c r="B198" s="610"/>
      <c r="C198" s="863"/>
    </row>
    <row r="199" spans="1:3">
      <c r="A199" s="536"/>
      <c r="B199" s="610"/>
      <c r="C199" s="863"/>
    </row>
    <row r="200" spans="1:3">
      <c r="A200" s="536"/>
      <c r="B200" s="610"/>
      <c r="C200" s="863"/>
    </row>
    <row r="201" spans="1:3">
      <c r="A201" s="536"/>
      <c r="B201" s="610"/>
      <c r="C201" s="863"/>
    </row>
    <row r="202" spans="1:3">
      <c r="A202" s="536"/>
      <c r="B202" s="610"/>
      <c r="C202" s="863"/>
    </row>
    <row r="203" spans="1:3">
      <c r="A203" s="536"/>
      <c r="B203" s="610"/>
      <c r="C203" s="863"/>
    </row>
    <row r="204" spans="1:3">
      <c r="A204" s="536"/>
      <c r="B204" s="610"/>
      <c r="C204" s="863"/>
    </row>
    <row r="205" spans="1:3">
      <c r="A205" s="536"/>
      <c r="B205" s="610"/>
      <c r="C205" s="863"/>
    </row>
    <row r="206" spans="1:3">
      <c r="A206" s="536"/>
      <c r="B206" s="610"/>
      <c r="C206" s="863"/>
    </row>
    <row r="207" spans="1:3">
      <c r="A207" s="536"/>
      <c r="B207" s="610"/>
      <c r="C207" s="863"/>
    </row>
    <row r="208" spans="1:3">
      <c r="A208" s="536"/>
      <c r="B208" s="610"/>
      <c r="C208" s="863"/>
    </row>
    <row r="209" spans="1:3">
      <c r="A209" s="536"/>
      <c r="B209" s="610"/>
      <c r="C209" s="863"/>
    </row>
    <row r="210" spans="1:3">
      <c r="A210" s="536"/>
      <c r="B210" s="610"/>
      <c r="C210" s="863"/>
    </row>
    <row r="211" spans="1:3">
      <c r="A211" s="536"/>
      <c r="B211" s="610"/>
      <c r="C211" s="863"/>
    </row>
    <row r="212" spans="1:3" ht="14.1" customHeight="1">
      <c r="A212" s="536"/>
      <c r="B212" s="610"/>
      <c r="C212" s="863"/>
    </row>
    <row r="213" spans="1:3" ht="14.1" customHeight="1">
      <c r="A213" s="536"/>
      <c r="B213" s="610"/>
      <c r="C213" s="863"/>
    </row>
    <row r="214" spans="1:3">
      <c r="A214" s="536"/>
      <c r="B214" s="610"/>
      <c r="C214" s="863"/>
    </row>
    <row r="215" spans="1:3">
      <c r="A215" s="536"/>
      <c r="B215" s="610"/>
      <c r="C215" s="863"/>
    </row>
    <row r="216" spans="1:3">
      <c r="A216" s="536"/>
      <c r="B216" s="610"/>
      <c r="C216" s="863"/>
    </row>
    <row r="217" spans="1:3">
      <c r="A217" s="536"/>
      <c r="B217" s="610"/>
      <c r="C217" s="863"/>
    </row>
    <row r="218" spans="1:3">
      <c r="A218" s="536"/>
      <c r="B218" s="610"/>
      <c r="C218" s="863"/>
    </row>
    <row r="219" spans="1:3">
      <c r="A219" s="536"/>
      <c r="B219" s="610"/>
      <c r="C219" s="863"/>
    </row>
    <row r="220" spans="1:3">
      <c r="A220" s="536"/>
      <c r="B220" s="610"/>
      <c r="C220" s="863"/>
    </row>
    <row r="221" spans="1:3">
      <c r="A221" s="536"/>
      <c r="B221" s="610"/>
      <c r="C221" s="863"/>
    </row>
    <row r="222" spans="1:3">
      <c r="A222" s="536"/>
      <c r="B222" s="610"/>
      <c r="C222" s="863"/>
    </row>
    <row r="223" spans="1:3">
      <c r="A223" s="536"/>
      <c r="B223" s="610"/>
      <c r="C223" s="863"/>
    </row>
    <row r="224" spans="1:3">
      <c r="A224" s="536"/>
      <c r="B224" s="610"/>
      <c r="C224" s="863"/>
    </row>
    <row r="225" spans="1:3">
      <c r="A225" s="536"/>
      <c r="B225" s="610"/>
      <c r="C225" s="863"/>
    </row>
    <row r="226" spans="1:3">
      <c r="A226" s="536"/>
      <c r="B226" s="610"/>
      <c r="C226" s="863"/>
    </row>
    <row r="227" spans="1:3">
      <c r="A227" s="536"/>
      <c r="B227" s="610"/>
      <c r="C227" s="863"/>
    </row>
    <row r="228" spans="1:3">
      <c r="A228" s="536"/>
      <c r="B228" s="610"/>
      <c r="C228" s="863"/>
    </row>
    <row r="229" spans="1:3">
      <c r="A229" s="536"/>
      <c r="B229" s="610"/>
      <c r="C229" s="863"/>
    </row>
    <row r="230" spans="1:3">
      <c r="A230" s="536"/>
      <c r="B230" s="610"/>
      <c r="C230" s="863"/>
    </row>
    <row r="231" spans="1:3">
      <c r="A231" s="536"/>
      <c r="B231" s="610"/>
      <c r="C231" s="863"/>
    </row>
    <row r="232" spans="1:3">
      <c r="A232" s="536"/>
      <c r="B232" s="610"/>
      <c r="C232" s="863"/>
    </row>
    <row r="233" spans="1:3">
      <c r="A233" s="536"/>
      <c r="B233" s="610"/>
      <c r="C233" s="863"/>
    </row>
    <row r="234" spans="1:3">
      <c r="A234" s="536"/>
      <c r="B234" s="610"/>
      <c r="C234" s="863"/>
    </row>
    <row r="235" spans="1:3">
      <c r="A235" s="536"/>
      <c r="B235" s="610"/>
      <c r="C235" s="863"/>
    </row>
    <row r="236" spans="1:3">
      <c r="A236" s="536"/>
      <c r="B236" s="610"/>
      <c r="C236" s="863"/>
    </row>
    <row r="237" spans="1:3">
      <c r="A237" s="536"/>
      <c r="B237" s="610"/>
      <c r="C237" s="863"/>
    </row>
    <row r="238" spans="1:3">
      <c r="A238" s="536"/>
      <c r="B238" s="610"/>
      <c r="C238" s="863"/>
    </row>
    <row r="239" spans="1:3">
      <c r="A239" s="536"/>
      <c r="B239" s="610"/>
      <c r="C239" s="863"/>
    </row>
    <row r="240" spans="1:3">
      <c r="A240" s="536"/>
      <c r="B240" s="610"/>
      <c r="C240" s="863"/>
    </row>
    <row r="241" spans="1:3">
      <c r="A241" s="536"/>
      <c r="B241" s="610"/>
      <c r="C241" s="863"/>
    </row>
    <row r="242" spans="1:3">
      <c r="A242" s="536"/>
      <c r="B242" s="610"/>
      <c r="C242" s="863"/>
    </row>
    <row r="243" spans="1:3">
      <c r="A243" s="536"/>
      <c r="B243" s="610"/>
      <c r="C243" s="863"/>
    </row>
    <row r="244" spans="1:3">
      <c r="A244" s="536"/>
      <c r="B244" s="610"/>
      <c r="C244" s="863"/>
    </row>
    <row r="245" spans="1:3">
      <c r="A245" s="536"/>
      <c r="B245" s="610"/>
      <c r="C245" s="863"/>
    </row>
    <row r="246" spans="1:3">
      <c r="A246" s="536"/>
      <c r="B246" s="610"/>
      <c r="C246" s="863"/>
    </row>
    <row r="247" spans="1:3">
      <c r="A247" s="536"/>
      <c r="B247" s="610"/>
      <c r="C247" s="863"/>
    </row>
    <row r="248" spans="1:3">
      <c r="A248" s="536"/>
      <c r="B248" s="610"/>
      <c r="C248" s="863"/>
    </row>
    <row r="249" spans="1:3">
      <c r="A249" s="536"/>
      <c r="B249" s="610"/>
      <c r="C249" s="863"/>
    </row>
    <row r="250" spans="1:3">
      <c r="A250" s="536"/>
      <c r="B250" s="610"/>
      <c r="C250" s="863"/>
    </row>
    <row r="251" spans="1:3">
      <c r="A251" s="536"/>
      <c r="B251" s="610"/>
      <c r="C251" s="863"/>
    </row>
    <row r="252" spans="1:3">
      <c r="A252" s="536"/>
      <c r="B252" s="610"/>
      <c r="C252" s="863"/>
    </row>
    <row r="253" spans="1:3">
      <c r="A253" s="536"/>
      <c r="B253" s="610"/>
      <c r="C253" s="863"/>
    </row>
    <row r="254" spans="1:3">
      <c r="A254" s="536"/>
      <c r="B254" s="610"/>
      <c r="C254" s="863"/>
    </row>
    <row r="255" spans="1:3">
      <c r="A255" s="536"/>
      <c r="B255" s="610"/>
      <c r="C255" s="863"/>
    </row>
    <row r="256" spans="1:3">
      <c r="A256" s="536"/>
      <c r="B256" s="610"/>
      <c r="C256" s="863"/>
    </row>
    <row r="257" spans="1:3">
      <c r="A257" s="536"/>
      <c r="B257" s="610"/>
      <c r="C257" s="863"/>
    </row>
    <row r="258" spans="1:3">
      <c r="A258" s="536"/>
      <c r="B258" s="610"/>
      <c r="C258" s="863"/>
    </row>
    <row r="259" spans="1:3">
      <c r="A259" s="536"/>
      <c r="B259" s="610"/>
      <c r="C259" s="863"/>
    </row>
    <row r="260" spans="1:3">
      <c r="A260" s="536"/>
      <c r="B260" s="610"/>
      <c r="C260" s="863"/>
    </row>
    <row r="261" spans="1:3">
      <c r="A261" s="536"/>
      <c r="B261" s="610"/>
      <c r="C261" s="863"/>
    </row>
    <row r="262" spans="1:3">
      <c r="A262" s="536"/>
      <c r="B262" s="610"/>
      <c r="C262" s="863"/>
    </row>
    <row r="263" spans="1:3">
      <c r="A263" s="536"/>
      <c r="B263" s="610"/>
      <c r="C263" s="863"/>
    </row>
    <row r="264" spans="1:3">
      <c r="A264" s="536"/>
      <c r="B264" s="610"/>
    </row>
    <row r="265" spans="1:3">
      <c r="A265" s="536"/>
      <c r="B265" s="610"/>
    </row>
    <row r="266" spans="1:3">
      <c r="A266" s="536"/>
      <c r="B266" s="610"/>
    </row>
    <row r="267" spans="1:3">
      <c r="A267" s="536"/>
      <c r="B267" s="610"/>
    </row>
    <row r="268" spans="1:3">
      <c r="A268" s="536"/>
      <c r="B268" s="610"/>
    </row>
    <row r="269" spans="1:3">
      <c r="A269" s="536"/>
      <c r="B269" s="610"/>
    </row>
    <row r="270" spans="1:3">
      <c r="A270" s="536"/>
      <c r="B270" s="610"/>
    </row>
    <row r="271" spans="1:3">
      <c r="A271" s="536"/>
      <c r="B271" s="610"/>
    </row>
    <row r="272" spans="1:3">
      <c r="A272" s="536"/>
      <c r="B272" s="610"/>
    </row>
    <row r="273" spans="1:2">
      <c r="A273" s="536"/>
      <c r="B273" s="610"/>
    </row>
    <row r="274" spans="1:2">
      <c r="A274" s="536"/>
      <c r="B274" s="610"/>
    </row>
    <row r="275" spans="1:2">
      <c r="A275" s="536"/>
      <c r="B275" s="610"/>
    </row>
    <row r="276" spans="1:2">
      <c r="A276" s="536"/>
      <c r="B276" s="610"/>
    </row>
    <row r="277" spans="1:2">
      <c r="A277" s="536"/>
      <c r="B277" s="610"/>
    </row>
    <row r="279" spans="1:2" ht="14.1" customHeight="1"/>
    <row r="280" spans="1:2" ht="14.1" customHeight="1"/>
  </sheetData>
  <mergeCells count="11">
    <mergeCell ref="D7:E7"/>
    <mergeCell ref="D8:E8"/>
    <mergeCell ref="D9:E9"/>
    <mergeCell ref="N12:N14"/>
    <mergeCell ref="A12:A14"/>
    <mergeCell ref="B12:B14"/>
    <mergeCell ref="D12:D14"/>
    <mergeCell ref="E12:E14"/>
    <mergeCell ref="F12:F14"/>
    <mergeCell ref="G12:G14"/>
    <mergeCell ref="C12:C14"/>
  </mergeCells>
  <phoneticPr fontId="87" type="noConversion"/>
  <dataValidations count="3">
    <dataValidation allowBlank="1" showInputMessage="1" showErrorMessage="1" sqref="B15"/>
    <dataValidation allowBlank="1" showInputMessage="1" showErrorMessage="1" promptTitle="Nhập mức LTTC vào đây" prompt="LTTC hiện theo Nghị định số 22/2011/NĐ-CP ngày 04/04/2011 của Chính phủ quy định mức lương tối thiểu chung.&#10;Dùng để tính bảng lương mới, rồi nối vào đơn giá chi tiết hoặc TH&amp;CLVT để bù chênh lệch NC hoặc GVT để tính giá trị vật tư." sqref="F4"/>
    <dataValidation allowBlank="1" showInputMessage="1" showErrorMessage="1" promptTitle="Nhập mức LTTV vào đây" prompt="Nghị định số 70/2011/NĐ-CP ngày 22/08/2011 của Chính phủ quy định mức lương tối thiểu vùng.&#10;Dùng để tính bảng lương mới, rồi nối vào đơn giá chi tiết hoặc TH&amp;CLVT để bù chênh lệch NC hoặc vào GVT để tính giá trị vật tư." sqref="F5"/>
  </dataValidations>
  <hyperlinks>
    <hyperlink ref="A1" location="'DGCT XD'!A1" tooltip="Về bảng đơn giá chi tiết" display="BẢNG LƯƠNG NHÂN CÔNG XÂY DỰNG"/>
    <hyperlink ref="A2" location="'TH&amp;CLVT XD'!A1" tooltip="Về bảng TH và chênh lệch vật tư" display="'TH&amp;CLVT XD'!A1"/>
  </hyperlinks>
  <printOptions horizontalCentered="1"/>
  <pageMargins left="0.74803149606299213" right="0.23622047244094491" top="0.74803149606299213" bottom="0.51181102362204722" header="0.23622047244094491" footer="0.23622047244094491"/>
  <pageSetup paperSize="9" orientation="landscape" blackAndWhite="1" horizontalDpi="300" verticalDpi="300" r:id="rId1"/>
  <headerFooter>
    <oddHeader>&amp;L&amp;"+,nghiêng"&amp;10Dự toán GXD - www.giaxaydung.vn</oddHeader>
    <oddFooter>&amp;C&amp;P</oddFooter>
  </headerFooter>
  <ignoredErrors>
    <ignoredError sqref="A2:A3" unlockedFormula="1"/>
  </ignoredErrors>
</worksheet>
</file>

<file path=xl/worksheets/sheet17.xml><?xml version="1.0" encoding="utf-8"?>
<worksheet xmlns="http://schemas.openxmlformats.org/spreadsheetml/2006/main" xmlns:r="http://schemas.openxmlformats.org/officeDocument/2006/relationships">
  <sheetPr codeName="shGCMXD">
    <tabColor rgb="FFFFFF00"/>
  </sheetPr>
  <dimension ref="A1:AN11"/>
  <sheetViews>
    <sheetView showZeros="0" zoomScale="85" zoomScaleNormal="85" workbookViewId="0">
      <selection activeCell="B8" sqref="B8"/>
    </sheetView>
  </sheetViews>
  <sheetFormatPr defaultColWidth="9.140625" defaultRowHeight="15.75"/>
  <cols>
    <col min="1" max="1" width="4.140625" style="642" customWidth="1"/>
    <col min="2" max="2" width="8.5703125" style="642" customWidth="1"/>
    <col min="3" max="3" width="15.7109375" style="652" customWidth="1"/>
    <col min="4" max="4" width="5.7109375" style="642" customWidth="1"/>
    <col min="5" max="6" width="6.140625" style="653" customWidth="1"/>
    <col min="7" max="7" width="5.28515625" style="653" customWidth="1"/>
    <col min="8" max="8" width="5.85546875" style="653" customWidth="1"/>
    <col min="9" max="9" width="6.28515625" style="653" customWidth="1"/>
    <col min="10" max="10" width="7.7109375" style="642" customWidth="1"/>
    <col min="11" max="11" width="6.140625" style="642" customWidth="1"/>
    <col min="12" max="12" width="14" style="642" customWidth="1"/>
    <col min="13" max="13" width="11.5703125" style="650" customWidth="1"/>
    <col min="14" max="18" width="9" style="650" customWidth="1"/>
    <col min="19" max="19" width="11" style="650" customWidth="1"/>
    <col min="20" max="22" width="9" style="654" hidden="1" customWidth="1"/>
    <col min="23" max="25" width="11.5703125" style="654" hidden="1" customWidth="1"/>
    <col min="26" max="26" width="12.7109375" style="650" hidden="1" customWidth="1"/>
    <col min="27" max="27" width="10" style="654" hidden="1" customWidth="1"/>
    <col min="28" max="29" width="8.7109375" style="650" hidden="1" customWidth="1"/>
    <col min="30" max="32" width="7.5703125" style="651" hidden="1" customWidth="1"/>
    <col min="33" max="33" width="10" style="650" hidden="1" customWidth="1"/>
    <col min="34" max="34" width="12.7109375" style="642" customWidth="1"/>
    <col min="35" max="35" width="10.42578125" style="642" customWidth="1"/>
    <col min="36" max="36" width="9.85546875" style="642" customWidth="1"/>
    <col min="37" max="37" width="9.140625" style="642" customWidth="1"/>
    <col min="38" max="38" width="8.85546875" style="642" customWidth="1"/>
    <col min="39" max="40" width="9.28515625" style="642" customWidth="1"/>
    <col min="41" max="16384" width="9.140625" style="642"/>
  </cols>
  <sheetData>
    <row r="1" spans="1:40" s="395" customFormat="1" ht="22.5">
      <c r="A1" s="4" t="s">
        <v>612</v>
      </c>
      <c r="B1" s="630"/>
      <c r="C1" s="634"/>
      <c r="D1" s="392"/>
      <c r="E1" s="393"/>
      <c r="F1" s="393"/>
      <c r="G1" s="393"/>
      <c r="H1" s="393"/>
      <c r="I1" s="393"/>
      <c r="J1" s="392"/>
      <c r="K1" s="392"/>
      <c r="L1" s="392"/>
      <c r="M1" s="394"/>
      <c r="N1" s="394"/>
      <c r="O1" s="394"/>
      <c r="P1" s="394"/>
      <c r="Q1" s="394"/>
      <c r="R1" s="394"/>
      <c r="S1" s="394"/>
      <c r="T1" s="394"/>
      <c r="U1" s="394"/>
      <c r="V1" s="394"/>
      <c r="W1" s="394"/>
      <c r="X1" s="394"/>
      <c r="Y1" s="394"/>
      <c r="Z1" s="394"/>
      <c r="AA1" s="394"/>
      <c r="AB1" s="394"/>
      <c r="AC1" s="394"/>
      <c r="AD1" s="637"/>
      <c r="AE1" s="637"/>
      <c r="AF1" s="637"/>
      <c r="AG1" s="394"/>
      <c r="AH1" s="770"/>
      <c r="AI1" s="775" t="s">
        <v>832</v>
      </c>
      <c r="AJ1" s="862" t="s">
        <v>833</v>
      </c>
      <c r="AK1" s="862" t="s">
        <v>837</v>
      </c>
      <c r="AL1" s="862" t="s">
        <v>834</v>
      </c>
      <c r="AM1" s="862" t="s">
        <v>835</v>
      </c>
      <c r="AN1" s="862" t="s">
        <v>836</v>
      </c>
    </row>
    <row r="2" spans="1:40" s="395" customFormat="1" ht="18.75">
      <c r="A2" s="3" t="str">
        <f>'Bia1'!D42&amp;'Bia1'!E42</f>
        <v>CÔNG TRÌNH: NHÀ BIỆT THỰ GXD</v>
      </c>
      <c r="B2" s="631"/>
      <c r="C2" s="631"/>
      <c r="D2" s="396"/>
      <c r="E2" s="397"/>
      <c r="F2" s="397"/>
      <c r="G2" s="397"/>
      <c r="H2" s="397"/>
      <c r="I2" s="397"/>
      <c r="J2" s="396"/>
      <c r="K2" s="396"/>
      <c r="L2" s="396"/>
      <c r="M2" s="396"/>
      <c r="N2" s="396"/>
      <c r="O2" s="396"/>
      <c r="P2" s="396"/>
      <c r="Q2" s="396"/>
      <c r="R2" s="396"/>
      <c r="S2" s="396"/>
      <c r="T2" s="396"/>
      <c r="U2" s="396"/>
      <c r="V2" s="396"/>
      <c r="W2" s="396"/>
      <c r="X2" s="396"/>
      <c r="Y2" s="396"/>
      <c r="Z2" s="396"/>
      <c r="AA2" s="396"/>
      <c r="AB2" s="396"/>
      <c r="AC2" s="396"/>
      <c r="AD2" s="638"/>
      <c r="AE2" s="638"/>
      <c r="AF2" s="638"/>
      <c r="AG2" s="396"/>
      <c r="AH2" s="771" t="s">
        <v>838</v>
      </c>
      <c r="AI2" s="773">
        <f>xang</f>
        <v>19000</v>
      </c>
      <c r="AJ2" s="773">
        <f>diezel</f>
        <v>18955</v>
      </c>
      <c r="AK2" s="773">
        <f>dien</f>
        <v>1242</v>
      </c>
      <c r="AL2" s="773">
        <f>mazut</f>
        <v>13548</v>
      </c>
      <c r="AM2" s="773">
        <f>Ts!C38</f>
        <v>0</v>
      </c>
      <c r="AN2" s="773">
        <f>Ts!C39</f>
        <v>0</v>
      </c>
    </row>
    <row r="3" spans="1:40" s="395" customFormat="1" ht="18.75">
      <c r="A3" s="3" t="str">
        <f>'Bia1'!D43&amp;'Bia1'!E43</f>
        <v>HẠNG MỤC: ĐỔI BẢNG MÃ FONT RẤT ĐƠN GIẢN TRONG DỰ TOÁN GXD</v>
      </c>
      <c r="B3" s="632"/>
      <c r="C3" s="635"/>
      <c r="D3" s="398"/>
      <c r="E3" s="399"/>
      <c r="F3" s="399"/>
      <c r="G3" s="399"/>
      <c r="H3" s="399"/>
      <c r="I3" s="399"/>
      <c r="J3" s="398"/>
      <c r="K3" s="398"/>
      <c r="L3" s="398"/>
      <c r="M3" s="400"/>
      <c r="N3" s="400"/>
      <c r="O3" s="400"/>
      <c r="P3" s="400"/>
      <c r="Q3" s="400"/>
      <c r="R3" s="400"/>
      <c r="S3" s="400"/>
      <c r="T3" s="400"/>
      <c r="U3" s="400"/>
      <c r="V3" s="400"/>
      <c r="W3" s="400"/>
      <c r="X3" s="400"/>
      <c r="Y3" s="400"/>
      <c r="Z3" s="400"/>
      <c r="AA3" s="400"/>
      <c r="AB3" s="400"/>
      <c r="AC3" s="400"/>
      <c r="AD3" s="639"/>
      <c r="AE3" s="639"/>
      <c r="AF3" s="639"/>
      <c r="AG3" s="400"/>
      <c r="AH3" s="772" t="s">
        <v>1134</v>
      </c>
      <c r="AI3" s="774">
        <f>Ts!C42</f>
        <v>19909</v>
      </c>
      <c r="AJ3" s="774">
        <f>Ts!C43</f>
        <v>19545</v>
      </c>
      <c r="AK3" s="774">
        <f>Ts!C47</f>
        <v>2061</v>
      </c>
      <c r="AL3" s="774">
        <f>Ts!C44</f>
        <v>14548</v>
      </c>
      <c r="AM3" s="774">
        <f>Ts!C45</f>
        <v>0</v>
      </c>
      <c r="AN3" s="774">
        <f>Ts!C46</f>
        <v>0</v>
      </c>
    </row>
    <row r="4" spans="1:40" s="406" customFormat="1" ht="18.75">
      <c r="A4" s="401"/>
      <c r="B4" s="633"/>
      <c r="C4" s="636"/>
      <c r="D4" s="402"/>
      <c r="E4" s="403"/>
      <c r="F4" s="403"/>
      <c r="G4" s="403"/>
      <c r="H4" s="403"/>
      <c r="I4" s="403"/>
      <c r="J4" s="402"/>
      <c r="K4" s="402"/>
      <c r="L4" s="401"/>
      <c r="M4" s="604"/>
      <c r="N4" s="404"/>
      <c r="O4" s="404"/>
      <c r="P4" s="404"/>
      <c r="Q4" s="404"/>
      <c r="R4" s="404"/>
      <c r="S4" s="603" t="s">
        <v>957</v>
      </c>
      <c r="T4" s="605"/>
      <c r="U4" s="605"/>
      <c r="V4" s="605"/>
      <c r="W4" s="605"/>
      <c r="X4" s="605"/>
      <c r="Y4" s="605"/>
      <c r="Z4" s="604"/>
      <c r="AA4" s="605"/>
      <c r="AB4" s="604"/>
      <c r="AC4" s="604"/>
      <c r="AD4" s="640"/>
      <c r="AE4" s="640"/>
      <c r="AF4" s="640"/>
      <c r="AG4" s="603" t="s">
        <v>957</v>
      </c>
    </row>
    <row r="5" spans="1:40" s="405" customFormat="1" ht="43.5" customHeight="1">
      <c r="A5" s="1341" t="s">
        <v>660</v>
      </c>
      <c r="B5" s="1341" t="s">
        <v>327</v>
      </c>
      <c r="C5" s="1341" t="s">
        <v>757</v>
      </c>
      <c r="D5" s="1341" t="s">
        <v>758</v>
      </c>
      <c r="E5" s="1343" t="s">
        <v>754</v>
      </c>
      <c r="F5" s="1344"/>
      <c r="G5" s="1344"/>
      <c r="H5" s="1345"/>
      <c r="I5" s="1330" t="s">
        <v>764</v>
      </c>
      <c r="J5" s="1331"/>
      <c r="K5" s="1347" t="s">
        <v>773</v>
      </c>
      <c r="L5" s="1347" t="s">
        <v>759</v>
      </c>
      <c r="M5" s="1354" t="s">
        <v>756</v>
      </c>
      <c r="N5" s="1349" t="s">
        <v>765</v>
      </c>
      <c r="O5" s="1349" t="s">
        <v>766</v>
      </c>
      <c r="P5" s="1349" t="s">
        <v>767</v>
      </c>
      <c r="Q5" s="1349" t="s">
        <v>768</v>
      </c>
      <c r="R5" s="1349" t="s">
        <v>769</v>
      </c>
      <c r="S5" s="1339" t="s">
        <v>770</v>
      </c>
      <c r="T5" s="1336" t="s">
        <v>763</v>
      </c>
      <c r="U5" s="1337"/>
      <c r="V5" s="1338"/>
      <c r="W5" s="1335" t="s">
        <v>778</v>
      </c>
      <c r="X5" s="1335" t="s">
        <v>760</v>
      </c>
      <c r="Y5" s="1335" t="s">
        <v>771</v>
      </c>
      <c r="Z5" s="1351" t="s">
        <v>772</v>
      </c>
      <c r="AA5" s="1335" t="s">
        <v>527</v>
      </c>
      <c r="AB5" s="1353" t="s">
        <v>761</v>
      </c>
      <c r="AC5" s="1353" t="s">
        <v>775</v>
      </c>
      <c r="AD5" s="1334" t="s">
        <v>776</v>
      </c>
      <c r="AE5" s="1334" t="s">
        <v>777</v>
      </c>
      <c r="AF5" s="1334" t="s">
        <v>774</v>
      </c>
      <c r="AG5" s="1346" t="s">
        <v>762</v>
      </c>
    </row>
    <row r="6" spans="1:40" s="405" customFormat="1" ht="72" customHeight="1">
      <c r="A6" s="1342"/>
      <c r="B6" s="1342"/>
      <c r="C6" s="1342"/>
      <c r="D6" s="1342"/>
      <c r="E6" s="843" t="s">
        <v>523</v>
      </c>
      <c r="F6" s="843" t="s">
        <v>524</v>
      </c>
      <c r="G6" s="843" t="s">
        <v>525</v>
      </c>
      <c r="H6" s="843" t="s">
        <v>755</v>
      </c>
      <c r="I6" s="1332"/>
      <c r="J6" s="1333"/>
      <c r="K6" s="1348"/>
      <c r="L6" s="1348"/>
      <c r="M6" s="1355"/>
      <c r="N6" s="1350"/>
      <c r="O6" s="1350"/>
      <c r="P6" s="1350"/>
      <c r="Q6" s="1350"/>
      <c r="R6" s="1350"/>
      <c r="S6" s="1340"/>
      <c r="T6" s="870" t="s">
        <v>528</v>
      </c>
      <c r="U6" s="870" t="s">
        <v>529</v>
      </c>
      <c r="V6" s="870" t="s">
        <v>530</v>
      </c>
      <c r="W6" s="1335"/>
      <c r="X6" s="1335"/>
      <c r="Y6" s="1335"/>
      <c r="Z6" s="1352"/>
      <c r="AA6" s="1335"/>
      <c r="AB6" s="1353"/>
      <c r="AC6" s="1353"/>
      <c r="AD6" s="1334"/>
      <c r="AE6" s="1334"/>
      <c r="AF6" s="1334"/>
      <c r="AG6" s="1346"/>
    </row>
    <row r="7" spans="1:40" s="878" customFormat="1">
      <c r="A7" s="1209" t="s">
        <v>908</v>
      </c>
      <c r="B7" s="1209" t="s">
        <v>911</v>
      </c>
      <c r="C7" s="1209" t="s">
        <v>912</v>
      </c>
      <c r="D7" s="1209" t="s">
        <v>913</v>
      </c>
      <c r="E7" s="1209" t="s">
        <v>914</v>
      </c>
      <c r="F7" s="1209" t="s">
        <v>915</v>
      </c>
      <c r="G7" s="1209" t="s">
        <v>917</v>
      </c>
      <c r="H7" s="1209" t="s">
        <v>918</v>
      </c>
      <c r="I7" s="1209" t="s">
        <v>923</v>
      </c>
      <c r="J7" s="1209"/>
      <c r="K7" s="1209" t="s">
        <v>927</v>
      </c>
      <c r="L7" s="1209" t="s">
        <v>928</v>
      </c>
      <c r="M7" s="1210" t="s">
        <v>929</v>
      </c>
      <c r="N7" s="1210" t="s">
        <v>930</v>
      </c>
      <c r="O7" s="1210" t="s">
        <v>931</v>
      </c>
      <c r="P7" s="1210" t="s">
        <v>932</v>
      </c>
      <c r="Q7" s="1210" t="s">
        <v>933</v>
      </c>
      <c r="R7" s="1210" t="s">
        <v>934</v>
      </c>
      <c r="S7" s="1210" t="s">
        <v>935</v>
      </c>
      <c r="T7" s="872" t="s">
        <v>915</v>
      </c>
      <c r="U7" s="872" t="s">
        <v>917</v>
      </c>
      <c r="V7" s="872" t="s">
        <v>918</v>
      </c>
      <c r="W7" s="877" t="s">
        <v>923</v>
      </c>
      <c r="X7" s="872" t="s">
        <v>927</v>
      </c>
      <c r="Y7" s="872" t="s">
        <v>928</v>
      </c>
      <c r="Z7" s="872" t="s">
        <v>929</v>
      </c>
      <c r="AA7" s="872" t="s">
        <v>929</v>
      </c>
      <c r="AB7" s="872" t="s">
        <v>930</v>
      </c>
      <c r="AC7" s="872" t="s">
        <v>931</v>
      </c>
      <c r="AD7" s="872" t="s">
        <v>932</v>
      </c>
      <c r="AE7" s="872" t="s">
        <v>933</v>
      </c>
      <c r="AF7" s="872" t="s">
        <v>934</v>
      </c>
      <c r="AG7" s="872" t="s">
        <v>935</v>
      </c>
    </row>
    <row r="8" spans="1:40" s="649" customFormat="1" ht="15.75" customHeight="1">
      <c r="A8" s="641"/>
      <c r="B8" s="641"/>
      <c r="C8" s="646"/>
      <c r="D8" s="641"/>
      <c r="E8" s="641"/>
      <c r="F8" s="641"/>
      <c r="G8" s="641"/>
      <c r="H8" s="641"/>
      <c r="I8" s="641"/>
      <c r="J8" s="641"/>
      <c r="K8" s="642"/>
      <c r="L8" s="642"/>
      <c r="M8" s="647"/>
      <c r="N8" s="647"/>
      <c r="O8" s="647"/>
      <c r="P8" s="647"/>
      <c r="Q8" s="647"/>
      <c r="R8" s="647"/>
      <c r="S8" s="647"/>
      <c r="T8" s="647"/>
      <c r="U8" s="647"/>
      <c r="V8" s="647"/>
      <c r="W8" s="647"/>
      <c r="X8" s="647"/>
      <c r="Y8" s="647"/>
      <c r="Z8" s="647"/>
      <c r="AA8" s="647"/>
      <c r="AB8" s="647"/>
      <c r="AC8" s="647"/>
      <c r="AD8" s="648"/>
      <c r="AE8" s="648"/>
      <c r="AF8" s="648"/>
      <c r="AG8" s="647"/>
    </row>
    <row r="9" spans="1:40" s="649" customFormat="1">
      <c r="A9" s="641"/>
      <c r="B9" s="641"/>
      <c r="C9" s="646"/>
      <c r="D9" s="641"/>
      <c r="E9" s="641"/>
      <c r="F9" s="641"/>
      <c r="G9" s="641"/>
      <c r="H9" s="641"/>
      <c r="I9" s="641"/>
      <c r="J9" s="641"/>
      <c r="K9" s="642"/>
      <c r="L9" s="642"/>
      <c r="M9" s="647"/>
      <c r="N9" s="647"/>
      <c r="O9" s="647"/>
      <c r="P9" s="647"/>
      <c r="Q9" s="647"/>
      <c r="R9" s="647"/>
      <c r="S9" s="647"/>
      <c r="T9" s="647"/>
      <c r="U9" s="647"/>
      <c r="V9" s="647"/>
      <c r="W9" s="647"/>
      <c r="X9" s="647"/>
      <c r="Y9" s="647"/>
      <c r="Z9" s="647"/>
      <c r="AA9" s="647"/>
      <c r="AB9" s="647"/>
      <c r="AC9" s="647"/>
      <c r="AD9" s="648"/>
      <c r="AE9" s="648"/>
      <c r="AF9" s="648"/>
      <c r="AG9" s="647"/>
    </row>
    <row r="10" spans="1:40">
      <c r="A10" s="641"/>
      <c r="B10" s="641"/>
      <c r="C10" s="646"/>
      <c r="D10" s="641"/>
      <c r="E10" s="641"/>
      <c r="F10" s="641"/>
      <c r="G10" s="641"/>
      <c r="H10" s="641"/>
      <c r="I10" s="641"/>
      <c r="J10" s="641"/>
      <c r="T10" s="650"/>
      <c r="U10" s="650"/>
      <c r="V10" s="650"/>
      <c r="W10" s="650"/>
      <c r="X10" s="650"/>
      <c r="Y10" s="650"/>
      <c r="AA10" s="650"/>
    </row>
    <row r="11" spans="1:40">
      <c r="A11" s="641"/>
      <c r="B11" s="641"/>
      <c r="C11" s="646"/>
      <c r="D11" s="641"/>
      <c r="E11" s="641"/>
      <c r="F11" s="641"/>
      <c r="G11" s="641"/>
      <c r="H11" s="641"/>
      <c r="I11" s="641"/>
      <c r="J11" s="641"/>
      <c r="T11" s="650"/>
      <c r="U11" s="650"/>
      <c r="V11" s="650"/>
      <c r="W11" s="650"/>
      <c r="X11" s="650"/>
      <c r="Y11" s="650"/>
      <c r="AA11" s="650"/>
    </row>
  </sheetData>
  <mergeCells count="27">
    <mergeCell ref="AG5:AG6"/>
    <mergeCell ref="K5:K6"/>
    <mergeCell ref="L5:L6"/>
    <mergeCell ref="N5:N6"/>
    <mergeCell ref="O5:O6"/>
    <mergeCell ref="P5:P6"/>
    <mergeCell ref="Q5:Q6"/>
    <mergeCell ref="R5:R6"/>
    <mergeCell ref="Z5:Z6"/>
    <mergeCell ref="AB5:AB6"/>
    <mergeCell ref="AE5:AE6"/>
    <mergeCell ref="AC5:AC6"/>
    <mergeCell ref="AA5:AA6"/>
    <mergeCell ref="X5:X6"/>
    <mergeCell ref="M5:M6"/>
    <mergeCell ref="A5:A6"/>
    <mergeCell ref="B5:B6"/>
    <mergeCell ref="C5:C6"/>
    <mergeCell ref="D5:D6"/>
    <mergeCell ref="E5:H5"/>
    <mergeCell ref="I5:J6"/>
    <mergeCell ref="AF5:AF6"/>
    <mergeCell ref="W5:W6"/>
    <mergeCell ref="T5:V5"/>
    <mergeCell ref="Y5:Y6"/>
    <mergeCell ref="S5:S6"/>
    <mergeCell ref="AD5:AD6"/>
  </mergeCells>
  <phoneticPr fontId="87" type="noConversion"/>
  <conditionalFormatting sqref="U7">
    <cfRule type="cellIs" dxfId="20" priority="1" stopIfTrue="1" operator="greaterThan">
      <formula>T7</formula>
    </cfRule>
    <cfRule type="cellIs" dxfId="19" priority="2" stopIfTrue="1" operator="lessThan">
      <formula>T7</formula>
    </cfRule>
  </conditionalFormatting>
  <dataValidations count="9">
    <dataValidation allowBlank="1" showInputMessage="1" showErrorMessage="1" prompt="Giá nhiên liệu ở thời điểm hiện tại để tính giá ca máy mới và tính bù giá ca máy." sqref="AH3"/>
    <dataValidation allowBlank="1" showInputMessage="1" showErrorMessage="1" prompt="Nhập giá nhiên liệu, năng lượng ở thời điểm hiện tại vào đây." sqref="AM3:AN3"/>
    <dataValidation allowBlank="1" showInputMessage="1" showErrorMessage="1" promptTitle="Nhập giá điện hiện tại vào" prompt="Thường lấy theo thông tư về giá điện của Bộ Công thương, tìm trên website EVN. Dữ liệu này liên kết và tính toán đến sheet GCM XD và GCM TB khi tính giá ca máy mới." sqref="AK3"/>
    <dataValidation allowBlank="1" showInputMessage="1" showErrorMessage="1" promptTitle="Nhập giá Ma dút vào" prompt="Thường lấy theo thông cáo báo chí của TCT Xăng dầu VN ở thời điểm hiện tại. Dữ liệu này liên kết và tính toán đến sheet GCM XD và GCM TB khi tính giá ca máy mới." sqref="AL3"/>
    <dataValidation allowBlank="1" showInputMessage="1" showErrorMessage="1" promptTitle="Nhập giá Diezel hiện tại vào" prompt="Thường lấy theo thông cáo báo chí của TCT Xăng dầu VN ở thời điểm hiện tại. Dữ liệu này liên kết và tính toán đến sheet GCM XD và GCM TB khi tính giá ca máy mới." sqref="AJ3"/>
    <dataValidation allowBlank="1" showInputMessage="1" showErrorMessage="1" promptTitle="Nhập giá xăng hiện tại vào đây" prompt="Thường lấy theo thông cáo báo chí của TCT Xăng dầu VN. Dữ liệu này dùng để tính GCM mới hoặc tính bù chênh lệch giá ca máy. Có thể nhập trực tiếp vào đây hoặc nhập từ sheet Ts." sqref="AI3"/>
    <dataValidation allowBlank="1" showInputMessage="1" showErrorMessage="1" prompt="Giá nhiên liệu trong bảng giá ca máy địa phương (giá ca máy gốc) dùng để tính bù giá ca máy.&#10;Tra số liệu trong bảng giá ca máy được công bố tại địa phương nơi xây dựng công trình bạn đang lập dự toán." sqref="AH2"/>
    <dataValidation allowBlank="1" showInputMessage="1" showErrorMessage="1" sqref="B7"/>
    <dataValidation allowBlank="1" showInputMessage="1" showErrorMessage="1" prompt="Có thể tra máy theo mã vật tư hoặc từ khóa trong tên máy ở đây" sqref="B8"/>
  </dataValidations>
  <hyperlinks>
    <hyperlink ref="A2" location="'TH&amp;CLVT XD'!A1" tooltip="Về bảng TH và chênh lệch vật tư" display="'TH&amp;CLVT XD'!A1"/>
    <hyperlink ref="A1" location="'DGCT XD'!A1" tooltip="Về đơn giá chi tiết" display="BẢNG GIÁ CA MÁY VÀ THIẾT BỊ THI CÔNG XÂY DỰNG"/>
  </hyperlinks>
  <printOptions horizontalCentered="1"/>
  <pageMargins left="0.74803149606299213" right="0.23622047244094491" top="0.51181102362204722" bottom="0.51181102362204722" header="0.23622047244094491" footer="0.23622047244094491"/>
  <pageSetup paperSize="9" orientation="landscape" blackAndWhite="1" horizontalDpi="300" verticalDpi="300" r:id="rId1"/>
  <headerFooter>
    <oddHeader>&amp;L&amp;"+,nghiêng"&amp;10Dự toán GXD - www.giaxaydung.vn</oddHeader>
    <oddFooter>&amp;C&amp;P</oddFooter>
  </headerFooter>
  <ignoredErrors>
    <ignoredError sqref="A2:A3" unlockedFormula="1"/>
  </ignoredErrors>
</worksheet>
</file>

<file path=xl/worksheets/sheet18.xml><?xml version="1.0" encoding="utf-8"?>
<worksheet xmlns="http://schemas.openxmlformats.org/spreadsheetml/2006/main" xmlns:r="http://schemas.openxmlformats.org/officeDocument/2006/relationships">
  <sheetPr codeName="shBuGCMXD">
    <tabColor rgb="FFFFFF00"/>
  </sheetPr>
  <dimension ref="A1:M14"/>
  <sheetViews>
    <sheetView showZeros="0" workbookViewId="0"/>
  </sheetViews>
  <sheetFormatPr defaultRowHeight="15"/>
  <cols>
    <col min="1" max="1" width="4.85546875" customWidth="1"/>
    <col min="2" max="2" width="10" customWidth="1"/>
    <col min="3" max="3" width="37.7109375" customWidth="1"/>
    <col min="4" max="4" width="7.140625" customWidth="1"/>
    <col min="5" max="5" width="12.85546875" customWidth="1"/>
    <col min="6" max="6" width="9.140625" style="975"/>
    <col min="7" max="7" width="10.28515625" style="975" customWidth="1"/>
    <col min="8" max="8" width="10.85546875" style="975" customWidth="1"/>
    <col min="9" max="9" width="10.7109375" style="975" bestFit="1" customWidth="1"/>
    <col min="10" max="10" width="9.42578125" customWidth="1"/>
    <col min="11" max="11" width="10.28515625" customWidth="1"/>
    <col min="12" max="12" width="9.85546875" customWidth="1"/>
    <col min="13" max="13" width="10.85546875" customWidth="1"/>
  </cols>
  <sheetData>
    <row r="1" spans="1:13" ht="26.25" customHeight="1">
      <c r="A1" s="971" t="s">
        <v>1009</v>
      </c>
      <c r="B1" s="915"/>
      <c r="C1" s="915"/>
      <c r="D1" s="915"/>
      <c r="E1" s="915"/>
      <c r="F1" s="972"/>
      <c r="G1" s="972"/>
      <c r="H1" s="972"/>
      <c r="I1" s="972"/>
      <c r="J1" s="973"/>
      <c r="K1" s="973"/>
      <c r="L1" s="973"/>
      <c r="M1" s="973"/>
    </row>
    <row r="2" spans="1:13" ht="18.75">
      <c r="A2" s="974" t="str">
        <f>'Bia1'!D42&amp;'Bia1'!E42</f>
        <v>CÔNG TRÌNH: NHÀ BIỆT THỰ GXD</v>
      </c>
      <c r="B2" s="973"/>
      <c r="C2" s="973"/>
      <c r="D2" s="973"/>
      <c r="E2" s="973"/>
      <c r="F2" s="972"/>
      <c r="G2" s="972"/>
      <c r="H2" s="972"/>
      <c r="I2" s="972"/>
      <c r="J2" s="973"/>
      <c r="K2" s="973"/>
      <c r="L2" s="973"/>
      <c r="M2" s="973"/>
    </row>
    <row r="3" spans="1:13" ht="19.5" customHeight="1">
      <c r="A3" s="974" t="str">
        <f>'Bia1'!D43&amp;'Bia1'!E43</f>
        <v>HẠNG MỤC: ĐỔI BẢNG MÃ FONT RẤT ĐƠN GIẢN TRONG DỰ TOÁN GXD</v>
      </c>
      <c r="B3" s="973"/>
      <c r="C3" s="973"/>
      <c r="D3" s="973"/>
      <c r="E3" s="973"/>
      <c r="F3" s="972"/>
      <c r="G3" s="972"/>
      <c r="H3" s="972"/>
      <c r="I3" s="972"/>
      <c r="J3" s="973"/>
      <c r="K3" s="973"/>
      <c r="L3" s="973"/>
      <c r="M3" s="973"/>
    </row>
    <row r="4" spans="1:13">
      <c r="M4" t="s">
        <v>956</v>
      </c>
    </row>
    <row r="5" spans="1:13" ht="21" customHeight="1">
      <c r="A5" s="1356" t="s">
        <v>660</v>
      </c>
      <c r="B5" s="1356" t="s">
        <v>327</v>
      </c>
      <c r="C5" s="1356" t="s">
        <v>974</v>
      </c>
      <c r="D5" s="1356" t="s">
        <v>564</v>
      </c>
      <c r="E5" s="1356" t="s">
        <v>973</v>
      </c>
      <c r="F5" s="976" t="s">
        <v>972</v>
      </c>
      <c r="G5" s="977"/>
      <c r="H5" s="977"/>
      <c r="I5" s="978"/>
      <c r="J5" s="979" t="s">
        <v>971</v>
      </c>
      <c r="K5" s="980"/>
      <c r="L5" s="980"/>
      <c r="M5" s="981"/>
    </row>
    <row r="6" spans="1:13" ht="18.75" customHeight="1">
      <c r="A6" s="1357"/>
      <c r="B6" s="1357"/>
      <c r="C6" s="1357"/>
      <c r="D6" s="1357"/>
      <c r="E6" s="1357"/>
      <c r="F6" s="982" t="s">
        <v>970</v>
      </c>
      <c r="G6" s="982" t="s">
        <v>969</v>
      </c>
      <c r="H6" s="982" t="s">
        <v>968</v>
      </c>
      <c r="I6" s="982" t="s">
        <v>967</v>
      </c>
      <c r="J6" s="983" t="s">
        <v>970</v>
      </c>
      <c r="K6" s="983" t="s">
        <v>969</v>
      </c>
      <c r="L6" s="983" t="s">
        <v>968</v>
      </c>
      <c r="M6" s="983" t="s">
        <v>967</v>
      </c>
    </row>
    <row r="7" spans="1:13">
      <c r="A7" s="984" t="s">
        <v>908</v>
      </c>
      <c r="B7" s="984" t="s">
        <v>911</v>
      </c>
      <c r="C7" s="984" t="s">
        <v>912</v>
      </c>
      <c r="D7" s="984" t="s">
        <v>913</v>
      </c>
      <c r="E7" s="984" t="s">
        <v>914</v>
      </c>
      <c r="F7" s="985" t="s">
        <v>915</v>
      </c>
      <c r="G7" s="985" t="s">
        <v>917</v>
      </c>
      <c r="H7" s="985" t="s">
        <v>918</v>
      </c>
      <c r="I7" s="985" t="s">
        <v>923</v>
      </c>
      <c r="J7" s="984" t="s">
        <v>927</v>
      </c>
      <c r="K7" s="984" t="s">
        <v>928</v>
      </c>
      <c r="L7" s="984" t="s">
        <v>929</v>
      </c>
      <c r="M7" s="984" t="s">
        <v>930</v>
      </c>
    </row>
    <row r="8" spans="1:13">
      <c r="A8" s="986"/>
      <c r="B8" s="986"/>
      <c r="C8" s="987"/>
      <c r="D8" s="986"/>
      <c r="E8" s="986"/>
      <c r="F8" s="988"/>
      <c r="G8" s="988"/>
      <c r="H8" s="988"/>
      <c r="I8" s="988"/>
      <c r="J8" s="986"/>
      <c r="K8" s="986"/>
      <c r="L8" s="986"/>
      <c r="M8" s="986"/>
    </row>
    <row r="9" spans="1:13">
      <c r="A9" s="989"/>
      <c r="B9" s="989"/>
      <c r="C9" s="989"/>
      <c r="D9" s="989"/>
      <c r="E9" s="989"/>
      <c r="F9" s="990"/>
      <c r="G9" s="990"/>
      <c r="H9" s="990"/>
      <c r="I9" s="990"/>
      <c r="J9" s="989"/>
      <c r="K9" s="989"/>
      <c r="L9" s="989"/>
      <c r="M9" s="989"/>
    </row>
    <row r="10" spans="1:13">
      <c r="A10" s="989"/>
      <c r="B10" s="989"/>
      <c r="C10" s="989"/>
      <c r="D10" s="989"/>
      <c r="E10" s="989"/>
      <c r="F10" s="990"/>
      <c r="G10" s="990"/>
      <c r="H10" s="990"/>
      <c r="I10" s="990"/>
      <c r="J10" s="989"/>
      <c r="K10" s="989"/>
      <c r="L10" s="989"/>
      <c r="M10" s="989"/>
    </row>
    <row r="11" spans="1:13">
      <c r="A11" s="989"/>
      <c r="B11" s="989"/>
      <c r="C11" s="989"/>
      <c r="D11" s="989"/>
      <c r="E11" s="989"/>
      <c r="F11" s="990"/>
      <c r="G11" s="990"/>
      <c r="H11" s="990"/>
      <c r="I11" s="990"/>
      <c r="J11" s="989"/>
      <c r="K11" s="989"/>
      <c r="L11" s="989"/>
      <c r="M11" s="989"/>
    </row>
    <row r="12" spans="1:13">
      <c r="A12" s="989"/>
      <c r="B12" s="989"/>
      <c r="C12" s="989"/>
      <c r="D12" s="989"/>
      <c r="E12" s="989"/>
      <c r="F12" s="990"/>
      <c r="G12" s="990"/>
      <c r="H12" s="990"/>
      <c r="I12" s="990"/>
      <c r="J12" s="989"/>
      <c r="K12" s="989"/>
      <c r="L12" s="989"/>
      <c r="M12" s="989"/>
    </row>
    <row r="13" spans="1:13">
      <c r="A13" s="991"/>
      <c r="B13" s="991"/>
      <c r="C13" s="991"/>
      <c r="D13" s="991"/>
      <c r="E13" s="991"/>
      <c r="F13" s="992"/>
      <c r="G13" s="992"/>
      <c r="H13" s="992"/>
      <c r="I13" s="992"/>
      <c r="J13" s="991"/>
      <c r="K13" s="991"/>
      <c r="L13" s="991"/>
      <c r="M13" s="991"/>
    </row>
    <row r="14" spans="1:13">
      <c r="A14" s="993" t="s">
        <v>753</v>
      </c>
      <c r="B14" s="994"/>
      <c r="C14" s="994"/>
      <c r="D14" s="994"/>
      <c r="E14" s="994"/>
      <c r="F14" s="995"/>
      <c r="G14" s="995"/>
      <c r="H14" s="995"/>
      <c r="I14" s="996"/>
      <c r="J14" s="997">
        <f>SUM(J8:J13)</f>
        <v>0</v>
      </c>
      <c r="K14" s="997">
        <f>SUM(K8:K13)</f>
        <v>0</v>
      </c>
      <c r="L14" s="997">
        <f>SUM(L8:L13)</f>
        <v>0</v>
      </c>
      <c r="M14" s="997">
        <f>SUM(M8:M13)</f>
        <v>0</v>
      </c>
    </row>
  </sheetData>
  <mergeCells count="5">
    <mergeCell ref="A5:A6"/>
    <mergeCell ref="B5:B6"/>
    <mergeCell ref="C5:C6"/>
    <mergeCell ref="D5:D6"/>
    <mergeCell ref="E5:E6"/>
  </mergeCells>
  <phoneticPr fontId="87" type="noConversion"/>
  <hyperlinks>
    <hyperlink ref="A1" location="'GCM XD'!A1" tooltip="Kích để về bảng giá ca máy" display="BẢNG TỔNG HỢP NHIÊN LIỆU, NĂNG LƯỢNG PHẦN THI CÔNG XÂY DỰNG"/>
    <hyperlink ref="A2" location="'TH&amp;CLVT TB'!A1" tooltip="Về bảng TH và chênh lệch vật tư" display="'TH&amp;CLVT TB'!A1"/>
  </hyperlinks>
  <printOptions horizontalCentered="1"/>
  <pageMargins left="0.75" right="0.25" top="0.75" bottom="0.5" header="0.25" footer="0.25"/>
  <pageSetup paperSize="9" orientation="landscape" blackAndWhite="1" horizontalDpi="300" verticalDpi="300" r:id="rId1"/>
  <headerFooter>
    <oddHeader>&amp;L&amp;"+,nghiêng"&amp;10Dự toán GXD - www.giaxaydung.vn</oddHeader>
    <oddFooter>&amp;C&amp;P</oddFooter>
  </headerFooter>
  <legacyDrawing r:id="rId2"/>
</worksheet>
</file>

<file path=xl/worksheets/sheet19.xml><?xml version="1.0" encoding="utf-8"?>
<worksheet xmlns="http://schemas.openxmlformats.org/spreadsheetml/2006/main" xmlns:r="http://schemas.openxmlformats.org/officeDocument/2006/relationships">
  <sheetPr codeName="shVTDCXD">
    <tabColor rgb="FFFFC000"/>
    <pageSetUpPr autoPageBreaks="0"/>
  </sheetPr>
  <dimension ref="A1:K7"/>
  <sheetViews>
    <sheetView showZeros="0" workbookViewId="0">
      <selection activeCell="A3" sqref="A3"/>
    </sheetView>
  </sheetViews>
  <sheetFormatPr defaultRowHeight="15"/>
  <cols>
    <col min="1" max="1" width="4.140625" style="1194" customWidth="1"/>
    <col min="2" max="2" width="9.140625" style="1135"/>
    <col min="3" max="3" width="30" style="1135" customWidth="1"/>
    <col min="4" max="4" width="7.42578125" style="1135" customWidth="1"/>
    <col min="5" max="5" width="11.85546875" style="1185" customWidth="1"/>
    <col min="6" max="6" width="10.7109375" style="1185" customWidth="1"/>
    <col min="7" max="7" width="15.7109375" style="1197" customWidth="1"/>
    <col min="8" max="8" width="17.28515625" style="1178" customWidth="1"/>
    <col min="9" max="9" width="17.42578125" style="1178" customWidth="1"/>
    <col min="10" max="16384" width="9.140625" style="1135"/>
  </cols>
  <sheetData>
    <row r="1" spans="1:11" ht="22.5">
      <c r="A1" s="1133" t="s">
        <v>1092</v>
      </c>
      <c r="B1" s="1157"/>
      <c r="C1" s="1157"/>
      <c r="D1" s="1157"/>
      <c r="E1" s="1176"/>
      <c r="F1" s="1176"/>
      <c r="G1" s="1176"/>
      <c r="H1" s="1177"/>
    </row>
    <row r="2" spans="1:11" ht="18.75">
      <c r="A2" s="407" t="str">
        <f>'Bia1'!D42&amp;'Bia1'!E42</f>
        <v>CÔNG TRÌNH: NHÀ BIỆT THỰ GXD</v>
      </c>
      <c r="B2" s="407"/>
      <c r="C2" s="407"/>
      <c r="D2" s="407"/>
      <c r="E2" s="1179"/>
      <c r="F2" s="1179"/>
      <c r="G2" s="1180"/>
      <c r="H2" s="1181"/>
    </row>
    <row r="3" spans="1:11" ht="18.75">
      <c r="A3" s="407" t="str">
        <f>'Bia1'!D43&amp;'Bia1'!E43</f>
        <v>HẠNG MỤC: ĐỔI BẢNG MÃ FONT RẤT ĐƠN GIẢN TRONG DỰ TOÁN GXD</v>
      </c>
      <c r="B3" s="407"/>
      <c r="C3" s="407"/>
      <c r="D3" s="407"/>
      <c r="E3" s="1179"/>
      <c r="F3" s="1179"/>
      <c r="G3" s="1182"/>
      <c r="H3" s="1183"/>
    </row>
    <row r="4" spans="1:11">
      <c r="A4" s="1158"/>
      <c r="B4" s="1158"/>
      <c r="C4" s="1184"/>
      <c r="D4" s="1158"/>
      <c r="G4" s="1186" t="s">
        <v>1093</v>
      </c>
    </row>
    <row r="5" spans="1:11" ht="37.5" customHeight="1">
      <c r="A5" s="1187" t="s">
        <v>660</v>
      </c>
      <c r="B5" s="1188" t="s">
        <v>327</v>
      </c>
      <c r="C5" s="1187" t="s">
        <v>330</v>
      </c>
      <c r="D5" s="1187" t="s">
        <v>304</v>
      </c>
      <c r="E5" s="1189" t="s">
        <v>328</v>
      </c>
      <c r="F5" s="1189" t="s">
        <v>305</v>
      </c>
      <c r="G5" s="1189" t="s">
        <v>306</v>
      </c>
      <c r="H5" s="1190" t="s">
        <v>1094</v>
      </c>
      <c r="I5" s="1190" t="s">
        <v>1095</v>
      </c>
    </row>
    <row r="6" spans="1:11">
      <c r="A6" s="1191" t="s">
        <v>908</v>
      </c>
      <c r="B6" s="1191" t="s">
        <v>911</v>
      </c>
      <c r="C6" s="1191" t="s">
        <v>912</v>
      </c>
      <c r="D6" s="1191" t="s">
        <v>913</v>
      </c>
      <c r="E6" s="1192" t="s">
        <v>914</v>
      </c>
      <c r="F6" s="1192" t="s">
        <v>915</v>
      </c>
      <c r="G6" s="1192" t="s">
        <v>917</v>
      </c>
      <c r="H6" s="1193" t="s">
        <v>918</v>
      </c>
      <c r="I6" s="1193" t="s">
        <v>923</v>
      </c>
    </row>
    <row r="7" spans="1:11">
      <c r="B7" s="1195"/>
      <c r="C7" s="1184"/>
      <c r="D7" s="1194"/>
      <c r="G7" s="1196"/>
      <c r="K7" s="1178"/>
    </row>
  </sheetData>
  <hyperlinks>
    <hyperlink ref="A1" location="MucLuc!A1" tooltip="Kích để về mục lục hoặc ấn F2 để sửa tên bảng" display="BẢNG PHÂN TÍCH VẬT TƯ DỰ THẦU"/>
  </hyperlinks>
  <printOptions horizontalCentered="1"/>
  <pageMargins left="0.75" right="0.25" top="0.5" bottom="0.5" header="0.25" footer="0.25"/>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TS" enableFormatConditionsCalculation="0">
    <tabColor theme="0" tint="-0.499984740745262"/>
  </sheetPr>
  <dimension ref="A1:BH107"/>
  <sheetViews>
    <sheetView view="pageBreakPreview" zoomScale="85" zoomScaleNormal="70" zoomScaleSheetLayoutView="85" workbookViewId="0">
      <selection activeCell="B11" sqref="B11"/>
    </sheetView>
  </sheetViews>
  <sheetFormatPr defaultColWidth="9" defaultRowHeight="15.75"/>
  <cols>
    <col min="1" max="1" width="5.5703125" style="50" customWidth="1"/>
    <col min="2" max="2" width="53.42578125" style="97" customWidth="1"/>
    <col min="3" max="3" width="21.28515625" style="97" customWidth="1"/>
    <col min="4" max="4" width="6.140625" style="53" customWidth="1"/>
    <col min="5" max="5" width="4.7109375" style="48" customWidth="1"/>
    <col min="6" max="6" width="43" style="48" customWidth="1"/>
    <col min="7" max="7" width="10.42578125" style="48" customWidth="1"/>
    <col min="8" max="8" width="11.28515625" style="48" customWidth="1"/>
    <col min="9" max="9" width="11.42578125" style="48" customWidth="1"/>
    <col min="10" max="10" width="14.28515625" style="48" customWidth="1"/>
    <col min="11" max="11" width="40.5703125" style="48" customWidth="1"/>
    <col min="12" max="12" width="10.28515625" style="48" customWidth="1"/>
    <col min="13" max="14" width="9" style="48"/>
    <col min="15" max="15" width="9.85546875" style="48" customWidth="1"/>
    <col min="16" max="17" width="9" style="48"/>
    <col min="18" max="18" width="12" style="48" customWidth="1"/>
    <col min="19" max="19" width="17.140625" style="10" customWidth="1"/>
    <col min="20" max="23" width="9" style="10"/>
    <col min="24" max="24" width="34.140625" style="10" customWidth="1"/>
    <col min="25" max="26" width="9" style="10"/>
    <col min="27" max="27" width="12.42578125" style="15" customWidth="1"/>
    <col min="28" max="28" width="11.5703125" style="15" customWidth="1"/>
    <col min="29" max="30" width="9" style="10"/>
    <col min="31" max="31" width="45.5703125" style="10" customWidth="1"/>
    <col min="32" max="34" width="9" style="10"/>
    <col min="35" max="35" width="65.42578125" style="10" customWidth="1"/>
    <col min="36" max="36" width="2.42578125" style="10" customWidth="1"/>
    <col min="37" max="37" width="7.7109375" style="10" customWidth="1"/>
    <col min="38" max="38" width="6.140625" style="595" customWidth="1"/>
    <col min="39" max="60" width="9" style="595"/>
    <col min="61" max="16384" width="9" style="50"/>
  </cols>
  <sheetData>
    <row r="1" spans="1:60" ht="27" customHeight="1">
      <c r="A1" s="2" t="s">
        <v>2</v>
      </c>
      <c r="B1" s="43"/>
      <c r="C1" s="43"/>
      <c r="D1" s="44"/>
      <c r="E1" s="45" t="s">
        <v>3</v>
      </c>
      <c r="F1" s="46"/>
      <c r="G1" s="46"/>
      <c r="H1" s="46"/>
      <c r="I1" s="46"/>
      <c r="J1" s="47"/>
      <c r="K1" s="1248" t="s">
        <v>1030</v>
      </c>
      <c r="L1" s="1248">
        <v>7</v>
      </c>
      <c r="M1" s="1248" t="s">
        <v>1135</v>
      </c>
      <c r="N1" s="1248"/>
      <c r="O1" s="1248" t="s">
        <v>1031</v>
      </c>
      <c r="R1" s="49" t="s">
        <v>4</v>
      </c>
      <c r="S1" s="49" t="s">
        <v>5</v>
      </c>
      <c r="T1" s="49" t="s">
        <v>6</v>
      </c>
      <c r="X1" s="1249" t="s">
        <v>740</v>
      </c>
      <c r="AA1" s="1246"/>
      <c r="AB1" s="1247"/>
      <c r="AD1" s="1131" t="s">
        <v>660</v>
      </c>
      <c r="AE1" s="1132" t="s">
        <v>1039</v>
      </c>
      <c r="AF1" s="1132" t="s">
        <v>269</v>
      </c>
    </row>
    <row r="2" spans="1:60" ht="15.95" customHeight="1">
      <c r="A2" s="428" t="s">
        <v>651</v>
      </c>
      <c r="B2" s="129" t="s">
        <v>652</v>
      </c>
      <c r="C2" s="128"/>
      <c r="E2" s="54" t="s">
        <v>7</v>
      </c>
      <c r="F2" s="55"/>
      <c r="G2" s="55"/>
      <c r="J2" s="15"/>
      <c r="K2" t="s">
        <v>1136</v>
      </c>
      <c r="L2">
        <v>6</v>
      </c>
      <c r="M2"/>
      <c r="N2"/>
      <c r="O2">
        <v>1</v>
      </c>
      <c r="R2" s="56">
        <v>1</v>
      </c>
      <c r="S2" s="57">
        <v>1</v>
      </c>
      <c r="T2" s="58">
        <v>1.05</v>
      </c>
      <c r="X2" s="1251"/>
      <c r="AD2" s="1077"/>
      <c r="AE2" s="1078" t="s">
        <v>857</v>
      </c>
      <c r="AF2" s="1079"/>
    </row>
    <row r="3" spans="1:60" ht="18" customHeight="1">
      <c r="A3" s="59">
        <v>1</v>
      </c>
      <c r="B3" s="60" t="s">
        <v>783</v>
      </c>
      <c r="C3" s="61"/>
      <c r="E3" s="63" t="s">
        <v>660</v>
      </c>
      <c r="F3" s="63" t="s">
        <v>8</v>
      </c>
      <c r="G3" s="63" t="s">
        <v>9</v>
      </c>
      <c r="J3" s="62"/>
      <c r="K3" t="s">
        <v>1137</v>
      </c>
      <c r="L3">
        <v>0</v>
      </c>
      <c r="M3"/>
      <c r="N3"/>
      <c r="O3">
        <v>1</v>
      </c>
      <c r="R3" s="56">
        <v>2</v>
      </c>
      <c r="S3" s="57">
        <v>1.1000000000000001</v>
      </c>
      <c r="T3" s="63"/>
      <c r="X3" s="1252" t="s">
        <v>741</v>
      </c>
      <c r="AD3" s="1080">
        <v>1</v>
      </c>
      <c r="AE3" s="1081" t="s">
        <v>858</v>
      </c>
      <c r="AF3" s="1082">
        <v>0</v>
      </c>
    </row>
    <row r="4" spans="1:60" ht="18" customHeight="1">
      <c r="A4" s="64"/>
      <c r="B4" s="65" t="s">
        <v>1318</v>
      </c>
      <c r="C4" s="66"/>
      <c r="E4" s="1109">
        <v>1</v>
      </c>
      <c r="F4" s="1110" t="s">
        <v>10</v>
      </c>
      <c r="G4" s="1111"/>
      <c r="H4" s="67"/>
      <c r="J4" s="62"/>
      <c r="K4" t="s">
        <v>1138</v>
      </c>
      <c r="L4">
        <v>3</v>
      </c>
      <c r="M4"/>
      <c r="N4"/>
      <c r="O4">
        <v>1</v>
      </c>
      <c r="R4" s="56">
        <v>3</v>
      </c>
      <c r="S4" s="57">
        <v>1.3</v>
      </c>
      <c r="T4" s="63"/>
      <c r="X4" s="1253" t="s">
        <v>746</v>
      </c>
      <c r="AD4" s="1086">
        <v>2</v>
      </c>
      <c r="AE4" s="1087" t="s">
        <v>859</v>
      </c>
      <c r="AF4" s="1088">
        <v>1</v>
      </c>
    </row>
    <row r="5" spans="1:60" ht="18" customHeight="1">
      <c r="A5" s="64">
        <v>2</v>
      </c>
      <c r="B5" s="68" t="s">
        <v>784</v>
      </c>
      <c r="C5" s="66"/>
      <c r="E5" s="1112"/>
      <c r="F5" s="1113" t="s">
        <v>11</v>
      </c>
      <c r="G5" s="1114">
        <v>2.5000000000000001E-2</v>
      </c>
      <c r="H5" s="67"/>
      <c r="J5" s="62"/>
      <c r="K5" t="s">
        <v>1139</v>
      </c>
      <c r="L5">
        <v>2</v>
      </c>
      <c r="M5"/>
      <c r="N5"/>
      <c r="O5">
        <v>1</v>
      </c>
      <c r="R5" s="56">
        <v>4</v>
      </c>
      <c r="S5" s="57">
        <v>1.4</v>
      </c>
      <c r="T5" s="63"/>
      <c r="X5" s="1253" t="s">
        <v>743</v>
      </c>
      <c r="Z5" s="10">
        <v>1</v>
      </c>
      <c r="AD5" s="1086">
        <v>3</v>
      </c>
      <c r="AE5" s="1087" t="s">
        <v>1129</v>
      </c>
      <c r="AF5" s="1088">
        <v>1</v>
      </c>
    </row>
    <row r="6" spans="1:60" ht="18" customHeight="1">
      <c r="A6" s="64"/>
      <c r="B6" s="65" t="s">
        <v>1319</v>
      </c>
      <c r="C6" s="66"/>
      <c r="E6" s="1115"/>
      <c r="F6" s="1116" t="s">
        <v>12</v>
      </c>
      <c r="G6" s="1117">
        <v>0.02</v>
      </c>
      <c r="H6" s="67"/>
      <c r="J6" s="62"/>
      <c r="K6" t="s">
        <v>1140</v>
      </c>
      <c r="L6">
        <v>1</v>
      </c>
      <c r="M6"/>
      <c r="N6"/>
      <c r="O6">
        <v>1</v>
      </c>
      <c r="R6" s="56">
        <v>5</v>
      </c>
      <c r="S6" s="57"/>
      <c r="T6" s="63"/>
      <c r="X6" s="1253" t="s">
        <v>742</v>
      </c>
      <c r="AD6" s="1074"/>
      <c r="AE6" s="1092" t="s">
        <v>1026</v>
      </c>
      <c r="AF6" s="1093"/>
    </row>
    <row r="7" spans="1:60" ht="18" customHeight="1">
      <c r="A7" s="64">
        <v>3</v>
      </c>
      <c r="B7" s="68" t="s">
        <v>13</v>
      </c>
      <c r="C7" s="66"/>
      <c r="E7" s="1109">
        <v>2</v>
      </c>
      <c r="F7" s="1110" t="s">
        <v>14</v>
      </c>
      <c r="G7" s="1118">
        <v>0.02</v>
      </c>
      <c r="H7" s="67"/>
      <c r="J7" s="69"/>
      <c r="K7" t="s">
        <v>1141</v>
      </c>
      <c r="L7">
        <v>5</v>
      </c>
      <c r="M7"/>
      <c r="N7"/>
      <c r="O7">
        <v>1</v>
      </c>
      <c r="X7" s="1253" t="s">
        <v>745</v>
      </c>
      <c r="AD7" s="1089">
        <v>4</v>
      </c>
      <c r="AE7" s="1090" t="s">
        <v>860</v>
      </c>
      <c r="AF7" s="1091">
        <v>1</v>
      </c>
    </row>
    <row r="8" spans="1:60" ht="18" customHeight="1">
      <c r="A8" s="64"/>
      <c r="B8" s="65" t="s">
        <v>1320</v>
      </c>
      <c r="C8" s="66"/>
      <c r="E8" s="1119"/>
      <c r="F8" s="1099" t="s">
        <v>15</v>
      </c>
      <c r="G8" s="1120">
        <v>6.5000000000000002E-2</v>
      </c>
      <c r="H8" s="67"/>
      <c r="J8" s="62"/>
      <c r="K8" t="s">
        <v>1142</v>
      </c>
      <c r="L8">
        <v>4</v>
      </c>
      <c r="M8"/>
      <c r="N8"/>
      <c r="O8">
        <v>1</v>
      </c>
      <c r="X8" s="1253" t="s">
        <v>744</v>
      </c>
      <c r="AD8" s="1083">
        <v>5</v>
      </c>
      <c r="AE8" s="1081" t="s">
        <v>861</v>
      </c>
      <c r="AF8" s="1084">
        <v>0</v>
      </c>
    </row>
    <row r="9" spans="1:60" ht="18" customHeight="1">
      <c r="A9" s="64">
        <v>4</v>
      </c>
      <c r="B9" s="68" t="s">
        <v>16</v>
      </c>
      <c r="C9" s="66"/>
      <c r="E9" s="1109">
        <v>3</v>
      </c>
      <c r="F9" s="1110" t="s">
        <v>17</v>
      </c>
      <c r="G9" s="1118">
        <v>0.02</v>
      </c>
      <c r="H9" s="67"/>
      <c r="J9" s="15"/>
      <c r="R9" s="598" t="s">
        <v>750</v>
      </c>
      <c r="S9" s="597"/>
      <c r="T9" s="597"/>
      <c r="X9" s="1253" t="s">
        <v>734</v>
      </c>
      <c r="AD9" s="1089">
        <v>6</v>
      </c>
      <c r="AE9" s="1081" t="s">
        <v>862</v>
      </c>
      <c r="AF9" s="1084">
        <v>1</v>
      </c>
    </row>
    <row r="10" spans="1:60" ht="18" customHeight="1">
      <c r="A10" s="64"/>
      <c r="B10" s="65" t="s">
        <v>1321</v>
      </c>
      <c r="C10" s="66"/>
      <c r="E10" s="1119"/>
      <c r="F10" s="1099" t="s">
        <v>18</v>
      </c>
      <c r="G10" s="1120">
        <v>6.5000000000000002E-2</v>
      </c>
      <c r="H10" s="67"/>
      <c r="J10" s="70"/>
      <c r="R10" s="598" t="s">
        <v>751</v>
      </c>
      <c r="S10" s="597" t="s">
        <v>752</v>
      </c>
      <c r="T10" s="597" t="s">
        <v>4</v>
      </c>
      <c r="X10" s="1250" t="s">
        <v>735</v>
      </c>
      <c r="AD10" s="1083">
        <v>7</v>
      </c>
      <c r="AE10" s="1081" t="s">
        <v>863</v>
      </c>
      <c r="AF10" s="1084">
        <v>1</v>
      </c>
    </row>
    <row r="11" spans="1:60" ht="15.95" customHeight="1">
      <c r="A11" s="428" t="s">
        <v>653</v>
      </c>
      <c r="B11" s="129" t="s">
        <v>654</v>
      </c>
      <c r="C11" s="128"/>
      <c r="E11" s="1121">
        <v>4</v>
      </c>
      <c r="F11" s="1122" t="s">
        <v>19</v>
      </c>
      <c r="G11" s="1123">
        <v>0.02</v>
      </c>
      <c r="H11" s="67"/>
      <c r="J11" s="62"/>
      <c r="R11" s="598">
        <v>1</v>
      </c>
      <c r="S11" s="597">
        <v>1</v>
      </c>
      <c r="T11" s="597">
        <v>1</v>
      </c>
      <c r="X11" s="1250" t="s">
        <v>736</v>
      </c>
      <c r="AD11" s="1089">
        <v>8</v>
      </c>
      <c r="AE11" s="1087" t="s">
        <v>864</v>
      </c>
      <c r="AF11" s="1088">
        <v>0</v>
      </c>
    </row>
    <row r="12" spans="1:60" ht="18" customHeight="1">
      <c r="A12" s="59">
        <v>1</v>
      </c>
      <c r="B12" s="71" t="s">
        <v>20</v>
      </c>
      <c r="C12" s="511">
        <v>1</v>
      </c>
      <c r="E12" s="1124">
        <v>5</v>
      </c>
      <c r="F12" s="1125" t="s">
        <v>21</v>
      </c>
      <c r="G12" s="1126"/>
      <c r="H12" s="67"/>
      <c r="J12" s="62"/>
      <c r="R12" s="598">
        <v>2</v>
      </c>
      <c r="S12" s="597">
        <v>1.1000000000000001</v>
      </c>
      <c r="T12" s="597">
        <v>2</v>
      </c>
      <c r="X12" s="1250" t="s">
        <v>737</v>
      </c>
      <c r="AD12" s="1083">
        <v>9</v>
      </c>
      <c r="AE12" s="1087" t="s">
        <v>1040</v>
      </c>
      <c r="AF12" s="1088">
        <v>1</v>
      </c>
    </row>
    <row r="13" spans="1:60" ht="18" customHeight="1">
      <c r="A13" s="64">
        <v>2</v>
      </c>
      <c r="B13" s="72" t="s">
        <v>22</v>
      </c>
      <c r="C13" s="511">
        <v>1</v>
      </c>
      <c r="E13" s="1112"/>
      <c r="F13" s="1113" t="s">
        <v>11</v>
      </c>
      <c r="G13" s="1127">
        <v>0.02</v>
      </c>
      <c r="H13" s="67"/>
      <c r="R13" s="598">
        <v>3</v>
      </c>
      <c r="S13" s="597">
        <v>1.3</v>
      </c>
      <c r="T13" s="597">
        <v>3</v>
      </c>
      <c r="X13" s="1250" t="s">
        <v>738</v>
      </c>
      <c r="AD13" s="1089">
        <v>10</v>
      </c>
      <c r="AE13" s="1073" t="s">
        <v>1144</v>
      </c>
      <c r="AF13" s="1075">
        <v>2</v>
      </c>
    </row>
    <row r="14" spans="1:60" ht="18" customHeight="1">
      <c r="A14" s="64">
        <v>3</v>
      </c>
      <c r="B14" s="72" t="s">
        <v>23</v>
      </c>
      <c r="C14" s="511">
        <v>1</v>
      </c>
      <c r="E14" s="1119"/>
      <c r="F14" s="1099" t="s">
        <v>12</v>
      </c>
      <c r="G14" s="1120">
        <v>1.4999999999999999E-2</v>
      </c>
      <c r="R14" s="598">
        <v>4</v>
      </c>
      <c r="S14" s="597">
        <v>1.4</v>
      </c>
      <c r="T14" s="597">
        <v>4</v>
      </c>
      <c r="X14" s="1254" t="s">
        <v>1125</v>
      </c>
      <c r="AD14" s="1072"/>
      <c r="AE14" s="1092" t="s">
        <v>1027</v>
      </c>
      <c r="AF14" s="1093"/>
    </row>
    <row r="15" spans="1:60" ht="18" customHeight="1">
      <c r="A15" s="64">
        <v>4</v>
      </c>
      <c r="B15" s="72" t="s">
        <v>24</v>
      </c>
      <c r="C15" s="73">
        <v>2.5</v>
      </c>
      <c r="E15" s="54" t="s">
        <v>25</v>
      </c>
      <c r="F15" s="55"/>
      <c r="G15" s="55"/>
      <c r="H15" s="55"/>
      <c r="I15" s="55"/>
      <c r="R15" s="598">
        <v>5</v>
      </c>
      <c r="S15" s="597"/>
      <c r="T15" s="597"/>
      <c r="X15" s="1250" t="s">
        <v>739</v>
      </c>
      <c r="AD15" s="1080">
        <v>11</v>
      </c>
      <c r="AE15" s="1081" t="s">
        <v>1028</v>
      </c>
      <c r="AF15" s="1082">
        <v>1</v>
      </c>
      <c r="AM15" s="596"/>
      <c r="AN15" s="596"/>
      <c r="AO15" s="596"/>
      <c r="AP15" s="596"/>
      <c r="AQ15" s="596"/>
      <c r="AR15" s="596"/>
      <c r="AS15" s="596"/>
      <c r="AT15" s="596"/>
      <c r="AU15" s="596"/>
      <c r="AV15" s="596"/>
      <c r="AW15" s="596"/>
      <c r="AX15" s="596"/>
      <c r="AY15" s="596"/>
      <c r="AZ15" s="596"/>
      <c r="BA15" s="596"/>
      <c r="BB15" s="596"/>
      <c r="BC15" s="596"/>
      <c r="BD15" s="596"/>
      <c r="BE15" s="596"/>
      <c r="BF15" s="596"/>
      <c r="BG15" s="596"/>
      <c r="BH15" s="596"/>
    </row>
    <row r="16" spans="1:60" ht="18" customHeight="1">
      <c r="A16" s="64">
        <v>5</v>
      </c>
      <c r="B16" s="72" t="s">
        <v>26</v>
      </c>
      <c r="C16" s="73">
        <v>6.5</v>
      </c>
      <c r="D16" s="48"/>
      <c r="E16" s="1287" t="s">
        <v>660</v>
      </c>
      <c r="F16" s="1287" t="s">
        <v>8</v>
      </c>
      <c r="G16" s="1128" t="s">
        <v>1037</v>
      </c>
      <c r="H16" s="1129"/>
      <c r="I16" s="1289" t="s">
        <v>1038</v>
      </c>
      <c r="R16" s="599">
        <v>6</v>
      </c>
      <c r="S16" s="599"/>
      <c r="T16" s="600"/>
      <c r="X16" s="1250" t="s">
        <v>1126</v>
      </c>
      <c r="AD16" s="1085"/>
      <c r="AE16" s="1092" t="s">
        <v>1115</v>
      </c>
      <c r="AF16" s="1075"/>
      <c r="AH16" s="74"/>
      <c r="AM16" s="596"/>
      <c r="AN16" s="596"/>
      <c r="AO16" s="596"/>
      <c r="AP16" s="596"/>
      <c r="AQ16" s="596"/>
      <c r="AR16" s="596"/>
      <c r="AS16" s="596"/>
      <c r="AT16" s="596"/>
      <c r="AU16" s="596"/>
      <c r="AV16" s="596"/>
      <c r="AW16" s="596"/>
      <c r="AX16" s="596"/>
      <c r="AY16" s="596"/>
      <c r="AZ16" s="596"/>
      <c r="BA16" s="596"/>
      <c r="BB16" s="596"/>
      <c r="BC16" s="596"/>
      <c r="BD16" s="596"/>
      <c r="BE16" s="596"/>
      <c r="BF16" s="596"/>
      <c r="BG16" s="596"/>
      <c r="BH16" s="596"/>
    </row>
    <row r="17" spans="1:60" ht="18" customHeight="1">
      <c r="A17" s="64">
        <v>6</v>
      </c>
      <c r="B17" s="72" t="s">
        <v>27</v>
      </c>
      <c r="C17" s="73">
        <v>5.5</v>
      </c>
      <c r="D17" s="48"/>
      <c r="E17" s="1288"/>
      <c r="F17" s="1288"/>
      <c r="G17" s="1130" t="s">
        <v>1035</v>
      </c>
      <c r="H17" s="1130" t="s">
        <v>1036</v>
      </c>
      <c r="I17" s="1290"/>
      <c r="R17" s="601"/>
      <c r="S17" s="602"/>
      <c r="T17" s="594"/>
      <c r="X17" s="1250" t="s">
        <v>1127</v>
      </c>
      <c r="AD17" s="1080">
        <v>12</v>
      </c>
      <c r="AE17" s="1081" t="s">
        <v>1119</v>
      </c>
      <c r="AF17" s="1082">
        <v>1</v>
      </c>
      <c r="AH17" s="74"/>
      <c r="AM17" s="596"/>
      <c r="AN17" s="596"/>
      <c r="AO17" s="596"/>
      <c r="AP17" s="596"/>
      <c r="AQ17" s="596"/>
      <c r="AR17" s="596"/>
      <c r="AS17" s="596"/>
      <c r="AT17" s="596"/>
      <c r="AU17" s="596"/>
      <c r="AV17" s="596"/>
      <c r="AW17" s="596"/>
      <c r="AX17" s="596"/>
      <c r="AY17" s="596"/>
      <c r="AZ17" s="596"/>
      <c r="BA17" s="596"/>
      <c r="BB17" s="596"/>
      <c r="BC17" s="596"/>
      <c r="BD17" s="596"/>
      <c r="BE17" s="596"/>
      <c r="BF17" s="596"/>
      <c r="BG17" s="596"/>
      <c r="BH17" s="596"/>
    </row>
    <row r="18" spans="1:60" ht="18" customHeight="1">
      <c r="A18" s="64">
        <v>7</v>
      </c>
      <c r="B18" s="72" t="s">
        <v>28</v>
      </c>
      <c r="C18" s="73">
        <v>10</v>
      </c>
      <c r="D18" s="48"/>
      <c r="E18" s="1277">
        <v>1</v>
      </c>
      <c r="F18" s="1094" t="s">
        <v>10</v>
      </c>
      <c r="G18" s="1095">
        <v>6.5000000000000002E-2</v>
      </c>
      <c r="H18" s="1095"/>
      <c r="I18" s="1279">
        <v>5.5E-2</v>
      </c>
      <c r="J18" s="10"/>
      <c r="R18" s="62" t="s">
        <v>947</v>
      </c>
      <c r="S18" s="15"/>
      <c r="T18" s="15"/>
      <c r="U18" s="10" t="s">
        <v>948</v>
      </c>
      <c r="X18" s="1250" t="s">
        <v>753</v>
      </c>
      <c r="AD18" s="1080">
        <v>13</v>
      </c>
      <c r="AE18" s="1081" t="s">
        <v>1120</v>
      </c>
      <c r="AF18" s="1082">
        <v>0</v>
      </c>
      <c r="AH18" s="74"/>
      <c r="AM18" s="596"/>
      <c r="AN18" s="596"/>
      <c r="AO18" s="596"/>
      <c r="AP18" s="596"/>
      <c r="AQ18" s="596"/>
      <c r="AR18" s="596"/>
      <c r="AS18" s="596"/>
      <c r="AT18" s="596"/>
      <c r="AU18" s="596"/>
      <c r="AV18" s="596"/>
      <c r="AW18" s="596"/>
      <c r="AX18" s="596"/>
      <c r="AY18" s="596"/>
      <c r="AZ18" s="596"/>
      <c r="BA18" s="596"/>
      <c r="BB18" s="596"/>
      <c r="BC18" s="596"/>
      <c r="BD18" s="596"/>
      <c r="BE18" s="596"/>
      <c r="BF18" s="596"/>
      <c r="BG18" s="596"/>
      <c r="BH18" s="596"/>
    </row>
    <row r="19" spans="1:60" ht="18" customHeight="1">
      <c r="A19" s="64">
        <v>8</v>
      </c>
      <c r="B19" s="75" t="s">
        <v>29</v>
      </c>
      <c r="C19" s="73">
        <v>1</v>
      </c>
      <c r="D19" s="48"/>
      <c r="E19" s="1278"/>
      <c r="F19" s="1096" t="s">
        <v>30</v>
      </c>
      <c r="G19" s="1097">
        <v>0.1</v>
      </c>
      <c r="H19" s="1098"/>
      <c r="I19" s="1280"/>
      <c r="J19" s="10"/>
      <c r="S19" s="10">
        <v>0</v>
      </c>
      <c r="X19" s="1250" t="s">
        <v>747</v>
      </c>
      <c r="AD19" s="1080">
        <v>14</v>
      </c>
      <c r="AE19" s="1081" t="s">
        <v>1122</v>
      </c>
      <c r="AF19" s="1082">
        <v>0</v>
      </c>
      <c r="AH19" s="74"/>
      <c r="AM19" s="596"/>
      <c r="AN19" s="596"/>
      <c r="AO19" s="596"/>
      <c r="AP19" s="596"/>
      <c r="AQ19" s="596"/>
      <c r="AR19" s="596"/>
      <c r="AS19" s="596"/>
      <c r="AT19" s="596"/>
      <c r="AU19" s="596"/>
      <c r="AV19" s="596"/>
      <c r="AW19" s="596"/>
      <c r="AX19" s="596"/>
      <c r="AY19" s="596"/>
      <c r="AZ19" s="596"/>
      <c r="BA19" s="596"/>
      <c r="BB19" s="596"/>
      <c r="BC19" s="596"/>
      <c r="BD19" s="596"/>
      <c r="BE19" s="596"/>
      <c r="BF19" s="596"/>
      <c r="BG19" s="596"/>
      <c r="BH19" s="596"/>
    </row>
    <row r="20" spans="1:60" ht="18" customHeight="1">
      <c r="A20" s="76">
        <v>9</v>
      </c>
      <c r="B20" s="77" t="s">
        <v>31</v>
      </c>
      <c r="C20" s="73">
        <v>5</v>
      </c>
      <c r="D20" s="48"/>
      <c r="E20" s="1277">
        <v>2</v>
      </c>
      <c r="F20" s="1094" t="s">
        <v>14</v>
      </c>
      <c r="G20" s="1095">
        <v>5.5E-2</v>
      </c>
      <c r="H20" s="1095"/>
      <c r="I20" s="1281">
        <v>0.06</v>
      </c>
      <c r="J20" s="10"/>
      <c r="S20" s="880" t="str">
        <f>'Dutoan XD'!E9</f>
        <v>L¾p ®Æt ®Ìn èng 1,2m - 2 bãng</v>
      </c>
      <c r="X20" s="1250" t="s">
        <v>748</v>
      </c>
      <c r="AD20" s="1085"/>
      <c r="AE20" s="1092" t="s">
        <v>1123</v>
      </c>
      <c r="AF20" s="1075"/>
      <c r="AH20" s="74"/>
      <c r="AM20" s="596"/>
      <c r="AN20" s="596"/>
      <c r="AO20" s="596"/>
      <c r="AP20" s="596"/>
      <c r="AQ20" s="596"/>
      <c r="AR20" s="596"/>
      <c r="AS20" s="596"/>
      <c r="AT20" s="596"/>
      <c r="AU20" s="596"/>
      <c r="AV20" s="596"/>
      <c r="AW20" s="596"/>
      <c r="AX20" s="596"/>
      <c r="AY20" s="596"/>
      <c r="AZ20" s="596"/>
      <c r="BA20" s="596"/>
      <c r="BB20" s="596"/>
      <c r="BC20" s="596"/>
      <c r="BD20" s="596"/>
      <c r="BE20" s="596"/>
      <c r="BF20" s="596"/>
      <c r="BG20" s="596"/>
      <c r="BH20" s="596"/>
    </row>
    <row r="21" spans="1:60" ht="15.95" customHeight="1">
      <c r="A21" s="428" t="s">
        <v>655</v>
      </c>
      <c r="B21" s="129" t="s">
        <v>656</v>
      </c>
      <c r="C21" s="128"/>
      <c r="D21" s="48"/>
      <c r="E21" s="1278"/>
      <c r="F21" s="1099" t="s">
        <v>15</v>
      </c>
      <c r="G21" s="1097">
        <v>7.0000000000000007E-2</v>
      </c>
      <c r="H21" s="1098"/>
      <c r="I21" s="1282"/>
      <c r="X21" s="1250" t="s">
        <v>612</v>
      </c>
      <c r="AD21" s="1080">
        <v>15</v>
      </c>
      <c r="AE21" s="1081" t="s">
        <v>1116</v>
      </c>
      <c r="AF21" s="1082">
        <v>1</v>
      </c>
      <c r="AH21" s="74"/>
      <c r="AJ21" s="48"/>
      <c r="AM21" s="596"/>
      <c r="AN21" s="596"/>
      <c r="AO21" s="596"/>
      <c r="AP21" s="596"/>
      <c r="AQ21" s="596"/>
      <c r="AR21" s="596"/>
      <c r="AS21" s="596"/>
      <c r="AT21" s="596"/>
      <c r="AU21" s="596"/>
      <c r="AV21" s="596"/>
      <c r="AW21" s="596"/>
      <c r="AX21" s="596"/>
      <c r="AY21" s="596"/>
      <c r="AZ21" s="596"/>
      <c r="BA21" s="596"/>
      <c r="BB21" s="596"/>
      <c r="BC21" s="596"/>
      <c r="BD21" s="596"/>
      <c r="BE21" s="596"/>
      <c r="BF21" s="596"/>
      <c r="BG21" s="596"/>
      <c r="BH21" s="596"/>
    </row>
    <row r="22" spans="1:60" ht="18" customHeight="1">
      <c r="A22" s="78">
        <v>1</v>
      </c>
      <c r="B22" s="71" t="s">
        <v>32</v>
      </c>
      <c r="C22" s="79">
        <v>1050000</v>
      </c>
      <c r="D22" s="48"/>
      <c r="E22" s="1277">
        <v>3</v>
      </c>
      <c r="F22" s="1094" t="s">
        <v>17</v>
      </c>
      <c r="G22" s="1095">
        <v>5.5E-2</v>
      </c>
      <c r="H22" s="1095"/>
      <c r="I22" s="1284">
        <v>0.06</v>
      </c>
      <c r="X22" s="1250" t="s">
        <v>749</v>
      </c>
      <c r="AD22" s="1080">
        <v>16</v>
      </c>
      <c r="AE22" s="1081" t="s">
        <v>1117</v>
      </c>
      <c r="AF22" s="1082">
        <v>1</v>
      </c>
      <c r="AH22" s="74"/>
      <c r="AJ22" s="48"/>
      <c r="AM22" s="596"/>
      <c r="AN22" s="596"/>
      <c r="AO22" s="596"/>
      <c r="AP22" s="596"/>
      <c r="AQ22" s="596"/>
      <c r="AR22" s="596"/>
      <c r="AS22" s="596"/>
      <c r="AT22" s="596"/>
      <c r="AU22" s="596"/>
      <c r="AV22" s="596"/>
      <c r="AW22" s="596"/>
      <c r="AX22" s="596"/>
      <c r="AY22" s="596"/>
      <c r="AZ22" s="596"/>
      <c r="BA22" s="596"/>
      <c r="BB22" s="596"/>
      <c r="BC22" s="596"/>
      <c r="BD22" s="596"/>
      <c r="BE22" s="596"/>
      <c r="BF22" s="596"/>
      <c r="BG22" s="596"/>
      <c r="BH22" s="596"/>
    </row>
    <row r="23" spans="1:60" ht="18" customHeight="1">
      <c r="A23" s="80">
        <v>2</v>
      </c>
      <c r="B23" s="81" t="s">
        <v>33</v>
      </c>
      <c r="C23" s="82">
        <v>2000000</v>
      </c>
      <c r="D23" s="48"/>
      <c r="E23" s="1283"/>
      <c r="F23" s="1100" t="s">
        <v>34</v>
      </c>
      <c r="G23" s="1101" t="s">
        <v>35</v>
      </c>
      <c r="H23" s="1102">
        <v>0.66</v>
      </c>
      <c r="I23" s="1285"/>
      <c r="X23" s="1250" t="s">
        <v>787</v>
      </c>
      <c r="AD23" s="1080">
        <v>17</v>
      </c>
      <c r="AE23" s="1081" t="s">
        <v>1118</v>
      </c>
      <c r="AF23" s="1082">
        <v>1</v>
      </c>
      <c r="AH23" s="74"/>
      <c r="AM23" s="596"/>
      <c r="AN23" s="596"/>
      <c r="AO23" s="596"/>
      <c r="AP23" s="596"/>
      <c r="AQ23" s="596"/>
      <c r="AR23" s="596"/>
      <c r="AS23" s="596"/>
      <c r="AT23" s="596"/>
      <c r="AU23" s="596"/>
      <c r="AV23" s="596"/>
      <c r="AW23" s="596"/>
      <c r="AX23" s="596"/>
      <c r="AY23" s="596"/>
      <c r="AZ23" s="596"/>
      <c r="BA23" s="596"/>
      <c r="BB23" s="596"/>
      <c r="BC23" s="596"/>
      <c r="BD23" s="596"/>
      <c r="BE23" s="596"/>
      <c r="BF23" s="596"/>
      <c r="BG23" s="596"/>
      <c r="BH23" s="596"/>
    </row>
    <row r="24" spans="1:60" ht="18" customHeight="1">
      <c r="A24" s="80">
        <v>3</v>
      </c>
      <c r="B24" s="72" t="s">
        <v>866</v>
      </c>
      <c r="C24" s="83">
        <v>0.2</v>
      </c>
      <c r="D24" s="48"/>
      <c r="E24" s="1278"/>
      <c r="F24" s="1096" t="s">
        <v>37</v>
      </c>
      <c r="G24" s="1097">
        <v>7.0000000000000007E-2</v>
      </c>
      <c r="H24" s="1098"/>
      <c r="I24" s="1286"/>
      <c r="X24" s="1250" t="s">
        <v>786</v>
      </c>
      <c r="AD24" s="1080">
        <v>18</v>
      </c>
      <c r="AE24" s="1081" t="s">
        <v>1121</v>
      </c>
      <c r="AF24" s="1082">
        <v>1</v>
      </c>
      <c r="AH24" s="74"/>
    </row>
    <row r="25" spans="1:60" ht="18" customHeight="1">
      <c r="A25" s="80">
        <v>4</v>
      </c>
      <c r="B25" s="72" t="s">
        <v>867</v>
      </c>
      <c r="C25" s="83">
        <v>0.12</v>
      </c>
      <c r="E25" s="1277">
        <v>4</v>
      </c>
      <c r="F25" s="1094" t="s">
        <v>19</v>
      </c>
      <c r="G25" s="1095">
        <v>5.5E-2</v>
      </c>
      <c r="H25" s="1095"/>
      <c r="I25" s="1279">
        <v>5.5E-2</v>
      </c>
      <c r="X25" s="1250" t="s">
        <v>332</v>
      </c>
      <c r="AD25" s="1085"/>
      <c r="AE25" s="1092" t="s">
        <v>1124</v>
      </c>
      <c r="AF25" s="1075"/>
      <c r="AH25" s="74"/>
      <c r="AJ25" s="48"/>
    </row>
    <row r="26" spans="1:60" ht="18" customHeight="1">
      <c r="A26" s="80">
        <v>5</v>
      </c>
      <c r="B26" s="72" t="s">
        <v>868</v>
      </c>
      <c r="C26" s="83">
        <v>0.04</v>
      </c>
      <c r="D26" s="84" t="s">
        <v>38</v>
      </c>
      <c r="E26" s="1278"/>
      <c r="F26" s="1096" t="s">
        <v>39</v>
      </c>
      <c r="G26" s="1098"/>
      <c r="H26" s="1097">
        <v>0.51</v>
      </c>
      <c r="I26" s="1280"/>
      <c r="J26" s="85"/>
      <c r="R26" s="85"/>
      <c r="S26" s="85"/>
      <c r="T26" s="85"/>
      <c r="X26" s="1250" t="s">
        <v>1099</v>
      </c>
      <c r="AD26" s="1080">
        <v>19</v>
      </c>
      <c r="AE26" s="1081" t="s">
        <v>1116</v>
      </c>
      <c r="AF26" s="1082">
        <v>0</v>
      </c>
      <c r="AH26" s="74"/>
      <c r="AJ26" s="48"/>
    </row>
    <row r="27" spans="1:60" s="85" customFormat="1" ht="18" customHeight="1">
      <c r="A27" s="80">
        <v>6</v>
      </c>
      <c r="B27" s="72" t="s">
        <v>869</v>
      </c>
      <c r="C27" s="83"/>
      <c r="E27" s="1103">
        <v>5</v>
      </c>
      <c r="F27" s="1092" t="s">
        <v>21</v>
      </c>
      <c r="G27" s="1104">
        <v>0.05</v>
      </c>
      <c r="H27" s="1105"/>
      <c r="I27" s="1105">
        <v>5.5E-2</v>
      </c>
      <c r="X27" s="1250" t="s">
        <v>1045</v>
      </c>
      <c r="AA27" s="596"/>
      <c r="AB27" s="596"/>
      <c r="AD27" s="1080">
        <v>20</v>
      </c>
      <c r="AE27" s="1081" t="s">
        <v>1117</v>
      </c>
      <c r="AF27" s="1082">
        <v>0</v>
      </c>
      <c r="AL27" s="596"/>
      <c r="AM27" s="595"/>
      <c r="AN27" s="595"/>
      <c r="AO27" s="595"/>
      <c r="AP27" s="595"/>
      <c r="AQ27" s="595"/>
      <c r="AR27" s="595"/>
      <c r="AS27" s="595"/>
      <c r="AT27" s="595"/>
      <c r="AU27" s="595"/>
      <c r="AV27" s="595"/>
      <c r="AW27" s="595"/>
      <c r="AX27" s="595"/>
      <c r="AY27" s="595"/>
      <c r="AZ27" s="595"/>
      <c r="BA27" s="595"/>
      <c r="BB27" s="595"/>
      <c r="BC27" s="595"/>
      <c r="BD27" s="595"/>
      <c r="BE27" s="595"/>
      <c r="BF27" s="595"/>
      <c r="BG27" s="595"/>
      <c r="BH27" s="595"/>
    </row>
    <row r="28" spans="1:60" s="85" customFormat="1" ht="18" customHeight="1">
      <c r="A28" s="80">
        <v>7</v>
      </c>
      <c r="B28" s="72" t="s">
        <v>870</v>
      </c>
      <c r="C28" s="83"/>
      <c r="E28" s="1106">
        <v>6</v>
      </c>
      <c r="F28" s="1076" t="s">
        <v>41</v>
      </c>
      <c r="G28" s="1107" t="s">
        <v>35</v>
      </c>
      <c r="H28" s="1108">
        <v>0.65</v>
      </c>
      <c r="I28" s="1108">
        <v>0.06</v>
      </c>
      <c r="X28" s="1250" t="s">
        <v>1100</v>
      </c>
      <c r="AA28" s="596"/>
      <c r="AB28" s="596"/>
      <c r="AD28" s="1080">
        <v>21</v>
      </c>
      <c r="AE28" s="1081" t="s">
        <v>1118</v>
      </c>
      <c r="AF28" s="1082">
        <v>0</v>
      </c>
      <c r="AL28" s="596"/>
      <c r="AM28" s="595"/>
      <c r="AN28" s="595"/>
      <c r="AO28" s="595"/>
      <c r="AP28" s="595"/>
      <c r="AQ28" s="595"/>
      <c r="AR28" s="595"/>
      <c r="AS28" s="595"/>
      <c r="AT28" s="595"/>
      <c r="AU28" s="595"/>
      <c r="AV28" s="595"/>
      <c r="AW28" s="595"/>
      <c r="AX28" s="595"/>
      <c r="AY28" s="595"/>
      <c r="AZ28" s="595"/>
      <c r="BA28" s="595"/>
      <c r="BB28" s="595"/>
      <c r="BC28" s="595"/>
      <c r="BD28" s="595"/>
      <c r="BE28" s="595"/>
      <c r="BF28" s="595"/>
      <c r="BG28" s="595"/>
      <c r="BH28" s="595"/>
    </row>
    <row r="29" spans="1:60" s="85" customFormat="1" ht="18" customHeight="1">
      <c r="A29" s="80">
        <v>8</v>
      </c>
      <c r="B29" s="72" t="s">
        <v>871</v>
      </c>
      <c r="C29" s="83"/>
      <c r="E29" s="86" t="s">
        <v>42</v>
      </c>
      <c r="X29" s="1250" t="s">
        <v>1101</v>
      </c>
      <c r="AA29" s="596"/>
      <c r="AB29" s="596"/>
      <c r="AD29" s="1080">
        <v>22</v>
      </c>
      <c r="AE29" s="1081" t="s">
        <v>1121</v>
      </c>
      <c r="AF29" s="1082">
        <v>0</v>
      </c>
      <c r="AL29" s="596"/>
      <c r="AM29" s="595"/>
      <c r="AN29" s="595"/>
      <c r="AO29" s="595"/>
      <c r="AP29" s="595"/>
      <c r="AQ29" s="595"/>
      <c r="AR29" s="595"/>
      <c r="AS29" s="595"/>
      <c r="AT29" s="595"/>
      <c r="AU29" s="595"/>
      <c r="AV29" s="595"/>
      <c r="AW29" s="595"/>
      <c r="AX29" s="595"/>
      <c r="AY29" s="595"/>
      <c r="AZ29" s="595"/>
      <c r="BA29" s="595"/>
      <c r="BB29" s="595"/>
      <c r="BC29" s="595"/>
      <c r="BD29" s="595"/>
      <c r="BE29" s="595"/>
      <c r="BF29" s="595"/>
      <c r="BG29" s="595"/>
      <c r="BH29" s="595"/>
    </row>
    <row r="30" spans="1:60" s="85" customFormat="1" ht="18" customHeight="1">
      <c r="A30" s="80">
        <v>9</v>
      </c>
      <c r="B30" s="72" t="s">
        <v>872</v>
      </c>
      <c r="C30" s="83"/>
      <c r="X30" s="1250" t="s">
        <v>1097</v>
      </c>
      <c r="AA30" s="596"/>
      <c r="AB30" s="596"/>
      <c r="AD30" s="1072"/>
      <c r="AE30" s="1092" t="s">
        <v>865</v>
      </c>
      <c r="AF30" s="1093"/>
      <c r="AL30" s="596"/>
      <c r="AM30" s="595"/>
      <c r="AN30" s="595"/>
      <c r="AO30" s="595"/>
      <c r="AP30" s="595"/>
      <c r="AQ30" s="595"/>
      <c r="AR30" s="595"/>
      <c r="AS30" s="595"/>
      <c r="AT30" s="595"/>
      <c r="AU30" s="595"/>
      <c r="AV30" s="595"/>
      <c r="AW30" s="595"/>
      <c r="AX30" s="595"/>
      <c r="AY30" s="595"/>
      <c r="AZ30" s="595"/>
      <c r="BA30" s="595"/>
      <c r="BB30" s="595"/>
      <c r="BC30" s="595"/>
      <c r="BD30" s="595"/>
      <c r="BE30" s="595"/>
      <c r="BF30" s="595"/>
      <c r="BG30" s="595"/>
      <c r="BH30" s="595"/>
    </row>
    <row r="31" spans="1:60" s="85" customFormat="1" ht="18" customHeight="1">
      <c r="A31" s="80">
        <v>10</v>
      </c>
      <c r="B31" s="72" t="s">
        <v>873</v>
      </c>
      <c r="C31" s="83"/>
      <c r="X31" s="1250" t="s">
        <v>1098</v>
      </c>
      <c r="AA31" s="596"/>
      <c r="AB31" s="596"/>
      <c r="AD31" s="1080">
        <v>23</v>
      </c>
      <c r="AE31" s="1081" t="s">
        <v>1105</v>
      </c>
      <c r="AF31" s="1082">
        <v>1</v>
      </c>
      <c r="AL31" s="596"/>
      <c r="AM31" s="595"/>
      <c r="AN31" s="595"/>
      <c r="AO31" s="595"/>
      <c r="AP31" s="595"/>
      <c r="AQ31" s="595"/>
      <c r="AR31" s="595"/>
      <c r="AS31" s="595"/>
      <c r="AT31" s="595"/>
      <c r="AU31" s="595"/>
      <c r="AV31" s="595"/>
      <c r="AW31" s="595"/>
      <c r="AX31" s="595"/>
      <c r="AY31" s="595"/>
      <c r="AZ31" s="595"/>
      <c r="BA31" s="595"/>
      <c r="BB31" s="595"/>
      <c r="BC31" s="595"/>
      <c r="BD31" s="595"/>
      <c r="BE31" s="595"/>
      <c r="BF31" s="595"/>
      <c r="BG31" s="595"/>
      <c r="BH31" s="595"/>
    </row>
    <row r="32" spans="1:60" s="85" customFormat="1" ht="18" customHeight="1">
      <c r="A32" s="80">
        <v>11</v>
      </c>
      <c r="B32" s="72" t="s">
        <v>874</v>
      </c>
      <c r="C32" s="83"/>
      <c r="X32" s="1255" t="s">
        <v>1128</v>
      </c>
      <c r="AA32" s="596"/>
      <c r="AB32" s="596"/>
      <c r="AD32" s="1080">
        <v>24</v>
      </c>
      <c r="AE32" s="1081" t="s">
        <v>1029</v>
      </c>
      <c r="AF32" s="1082">
        <v>1</v>
      </c>
      <c r="AL32" s="596"/>
      <c r="AM32" s="595"/>
      <c r="AN32" s="595"/>
      <c r="AO32" s="595"/>
      <c r="AP32" s="595"/>
      <c r="AQ32" s="595"/>
      <c r="AR32" s="595"/>
      <c r="AS32" s="595"/>
      <c r="AT32" s="595"/>
      <c r="AU32" s="595"/>
      <c r="AV32" s="595"/>
      <c r="AW32" s="595"/>
      <c r="AX32" s="595"/>
      <c r="AY32" s="595"/>
      <c r="AZ32" s="595"/>
      <c r="BA32" s="595"/>
      <c r="BB32" s="595"/>
      <c r="BC32" s="595"/>
      <c r="BD32" s="595"/>
      <c r="BE32" s="595"/>
      <c r="BF32" s="595"/>
      <c r="BG32" s="595"/>
      <c r="BH32" s="595"/>
    </row>
    <row r="33" spans="1:60" s="85" customFormat="1" ht="15.95" customHeight="1">
      <c r="A33" s="428" t="s">
        <v>657</v>
      </c>
      <c r="B33" s="129" t="s">
        <v>658</v>
      </c>
      <c r="C33" s="128"/>
      <c r="X33" s="10"/>
      <c r="AA33" s="596"/>
      <c r="AB33" s="596"/>
      <c r="AD33" s="1080">
        <v>25</v>
      </c>
      <c r="AE33" s="1081" t="s">
        <v>1145</v>
      </c>
      <c r="AF33" s="1084">
        <v>1</v>
      </c>
      <c r="AL33" s="596"/>
      <c r="AM33" s="595"/>
      <c r="AN33" s="595"/>
      <c r="AO33" s="595"/>
      <c r="AP33" s="595"/>
      <c r="AQ33" s="595"/>
      <c r="AR33" s="595"/>
      <c r="AS33" s="595"/>
      <c r="AT33" s="595"/>
      <c r="AU33" s="595"/>
      <c r="AV33" s="595"/>
      <c r="AW33" s="595"/>
      <c r="AX33" s="595"/>
      <c r="AY33" s="595"/>
      <c r="AZ33" s="595"/>
      <c r="BA33" s="595"/>
      <c r="BB33" s="595"/>
      <c r="BC33" s="595"/>
      <c r="BD33" s="595"/>
      <c r="BE33" s="595"/>
      <c r="BF33" s="595"/>
      <c r="BG33" s="595"/>
      <c r="BH33" s="595"/>
    </row>
    <row r="34" spans="1:60" s="85" customFormat="1" ht="15.95" customHeight="1">
      <c r="A34" s="89"/>
      <c r="B34" s="51" t="s">
        <v>44</v>
      </c>
      <c r="C34" s="52"/>
      <c r="D34" s="90"/>
      <c r="X34" s="10"/>
      <c r="AA34" s="596"/>
      <c r="AB34" s="596"/>
      <c r="AD34" s="1080">
        <v>26</v>
      </c>
      <c r="AE34" s="1081" t="s">
        <v>1044</v>
      </c>
      <c r="AF34" s="1082">
        <v>0</v>
      </c>
      <c r="AL34" s="596"/>
      <c r="AM34" s="595"/>
      <c r="AN34" s="595"/>
      <c r="AO34" s="595"/>
      <c r="AP34" s="595"/>
      <c r="AQ34" s="595"/>
      <c r="AR34" s="595"/>
      <c r="AS34" s="595"/>
      <c r="AT34" s="595"/>
      <c r="AU34" s="595"/>
      <c r="AV34" s="595"/>
      <c r="AW34" s="595"/>
      <c r="AX34" s="595"/>
      <c r="AY34" s="595"/>
      <c r="AZ34" s="595"/>
      <c r="BA34" s="595"/>
      <c r="BB34" s="595"/>
      <c r="BC34" s="595"/>
      <c r="BD34" s="595"/>
      <c r="BE34" s="595"/>
      <c r="BF34" s="595"/>
      <c r="BG34" s="595"/>
      <c r="BH34" s="595"/>
    </row>
    <row r="35" spans="1:60" s="85" customFormat="1" ht="18" customHeight="1">
      <c r="A35" s="78">
        <v>1</v>
      </c>
      <c r="B35" s="71" t="s">
        <v>45</v>
      </c>
      <c r="C35" s="91">
        <v>19000</v>
      </c>
      <c r="D35" s="90"/>
      <c r="AA35" s="596"/>
      <c r="AB35" s="596"/>
      <c r="AD35" s="1080">
        <v>27</v>
      </c>
      <c r="AE35" s="1081" t="s">
        <v>1034</v>
      </c>
      <c r="AF35" s="1082">
        <v>1</v>
      </c>
      <c r="AL35" s="596"/>
      <c r="AM35" s="595"/>
      <c r="AN35" s="595"/>
      <c r="AO35" s="595"/>
      <c r="AP35" s="595"/>
      <c r="AQ35" s="595"/>
      <c r="AR35" s="595"/>
      <c r="AS35" s="595"/>
      <c r="AT35" s="595"/>
      <c r="AU35" s="595"/>
      <c r="AV35" s="595"/>
      <c r="AW35" s="595"/>
      <c r="AX35" s="595"/>
      <c r="AY35" s="595"/>
      <c r="AZ35" s="595"/>
      <c r="BA35" s="595"/>
      <c r="BB35" s="595"/>
      <c r="BC35" s="595"/>
      <c r="BD35" s="595"/>
      <c r="BE35" s="595"/>
      <c r="BF35" s="595"/>
      <c r="BG35" s="595"/>
      <c r="BH35" s="595"/>
    </row>
    <row r="36" spans="1:60" s="85" customFormat="1" ht="18" customHeight="1">
      <c r="A36" s="80">
        <v>2</v>
      </c>
      <c r="B36" s="72" t="s">
        <v>46</v>
      </c>
      <c r="C36" s="92">
        <v>18955</v>
      </c>
      <c r="D36" s="90"/>
      <c r="H36" s="48"/>
      <c r="I36" s="48"/>
      <c r="AA36" s="596"/>
      <c r="AB36" s="596"/>
      <c r="AD36" s="1080">
        <v>28</v>
      </c>
      <c r="AE36" s="1256" t="s">
        <v>1041</v>
      </c>
      <c r="AF36" s="1257" t="s">
        <v>1042</v>
      </c>
      <c r="AL36" s="596"/>
      <c r="AM36" s="595"/>
      <c r="AN36" s="595"/>
      <c r="AO36" s="595"/>
      <c r="AP36" s="595"/>
      <c r="AQ36" s="595"/>
      <c r="AR36" s="595"/>
      <c r="AS36" s="595"/>
      <c r="AT36" s="595"/>
      <c r="AU36" s="595"/>
      <c r="AV36" s="595"/>
      <c r="AW36" s="595"/>
      <c r="AX36" s="595"/>
      <c r="AY36" s="595"/>
      <c r="AZ36" s="595"/>
      <c r="BA36" s="595"/>
      <c r="BB36" s="595"/>
      <c r="BC36" s="595"/>
      <c r="BD36" s="595"/>
      <c r="BE36" s="595"/>
      <c r="BF36" s="595"/>
      <c r="BG36" s="595"/>
      <c r="BH36" s="595"/>
    </row>
    <row r="37" spans="1:60" s="85" customFormat="1" ht="18" customHeight="1">
      <c r="A37" s="80">
        <v>3</v>
      </c>
      <c r="B37" s="72" t="s">
        <v>47</v>
      </c>
      <c r="C37" s="92">
        <v>13548</v>
      </c>
      <c r="D37" s="93"/>
      <c r="H37" s="48"/>
      <c r="I37" s="48"/>
      <c r="AA37" s="596"/>
      <c r="AB37" s="596"/>
      <c r="AD37" s="10"/>
      <c r="AE37" s="10"/>
      <c r="AF37" s="10"/>
      <c r="AL37" s="596"/>
      <c r="AM37" s="595"/>
      <c r="AN37" s="595"/>
      <c r="AO37" s="595"/>
      <c r="AP37" s="595"/>
      <c r="AQ37" s="595"/>
      <c r="AR37" s="595"/>
      <c r="AS37" s="595"/>
      <c r="AT37" s="595"/>
      <c r="AU37" s="595"/>
      <c r="AV37" s="595"/>
      <c r="AW37" s="595"/>
      <c r="AX37" s="595"/>
      <c r="AY37" s="595"/>
      <c r="AZ37" s="595"/>
      <c r="BA37" s="595"/>
      <c r="BB37" s="595"/>
      <c r="BC37" s="595"/>
      <c r="BD37" s="595"/>
      <c r="BE37" s="595"/>
      <c r="BF37" s="595"/>
      <c r="BG37" s="595"/>
      <c r="BH37" s="595"/>
    </row>
    <row r="38" spans="1:60" s="85" customFormat="1" ht="18" customHeight="1">
      <c r="A38" s="80">
        <v>4</v>
      </c>
      <c r="B38" s="72" t="s">
        <v>48</v>
      </c>
      <c r="C38" s="92"/>
      <c r="D38" s="93"/>
      <c r="H38" s="48"/>
      <c r="I38" s="48"/>
      <c r="J38" s="48"/>
      <c r="R38" s="48"/>
      <c r="S38" s="10"/>
      <c r="T38" s="10"/>
      <c r="AA38" s="596"/>
      <c r="AB38" s="596"/>
      <c r="AD38" s="10"/>
      <c r="AE38" s="10"/>
      <c r="AF38" s="10"/>
      <c r="AL38" s="596"/>
      <c r="AM38" s="595"/>
      <c r="AN38" s="595"/>
      <c r="AO38" s="595"/>
      <c r="AP38" s="595"/>
      <c r="AQ38" s="595"/>
      <c r="AR38" s="595"/>
      <c r="AS38" s="595"/>
      <c r="AT38" s="595"/>
      <c r="AU38" s="595"/>
      <c r="AV38" s="595"/>
      <c r="AW38" s="595"/>
      <c r="AX38" s="595"/>
      <c r="AY38" s="595"/>
      <c r="AZ38" s="595"/>
      <c r="BA38" s="595"/>
      <c r="BB38" s="595"/>
      <c r="BC38" s="595"/>
      <c r="BD38" s="595"/>
      <c r="BE38" s="595"/>
      <c r="BF38" s="595"/>
      <c r="BG38" s="595"/>
      <c r="BH38" s="595"/>
    </row>
    <row r="39" spans="1:60">
      <c r="A39" s="80">
        <v>5</v>
      </c>
      <c r="B39" s="72" t="s">
        <v>49</v>
      </c>
      <c r="C39" s="92"/>
      <c r="D39" s="94">
        <v>1000</v>
      </c>
      <c r="X39" s="85"/>
      <c r="AH39" s="74"/>
      <c r="AJ39" s="48"/>
    </row>
    <row r="40" spans="1:60">
      <c r="A40" s="80">
        <v>6</v>
      </c>
      <c r="B40" s="72" t="s">
        <v>50</v>
      </c>
      <c r="C40" s="92">
        <v>1242</v>
      </c>
      <c r="D40" s="94"/>
      <c r="X40" s="85"/>
      <c r="AH40" s="95"/>
      <c r="AJ40" s="48"/>
    </row>
    <row r="41" spans="1:60" ht="15.95" customHeight="1">
      <c r="A41" s="89"/>
      <c r="B41" s="51" t="s">
        <v>51</v>
      </c>
      <c r="C41" s="52"/>
      <c r="X41" s="85"/>
    </row>
    <row r="42" spans="1:60">
      <c r="A42" s="78">
        <v>1</v>
      </c>
      <c r="B42" s="71" t="s">
        <v>45</v>
      </c>
      <c r="C42" s="91">
        <v>19909</v>
      </c>
      <c r="X42" s="85"/>
    </row>
    <row r="43" spans="1:60">
      <c r="A43" s="80">
        <v>2</v>
      </c>
      <c r="B43" s="72" t="s">
        <v>46</v>
      </c>
      <c r="C43" s="92">
        <v>19545</v>
      </c>
      <c r="X43" s="85"/>
    </row>
    <row r="44" spans="1:60">
      <c r="A44" s="80">
        <v>3</v>
      </c>
      <c r="B44" s="72" t="s">
        <v>47</v>
      </c>
      <c r="C44" s="92">
        <v>14548</v>
      </c>
      <c r="X44" s="85"/>
    </row>
    <row r="45" spans="1:60">
      <c r="A45" s="80">
        <v>4</v>
      </c>
      <c r="B45" s="72" t="s">
        <v>48</v>
      </c>
      <c r="C45" s="92"/>
      <c r="X45" s="85"/>
    </row>
    <row r="46" spans="1:60">
      <c r="A46" s="80">
        <v>5</v>
      </c>
      <c r="B46" s="72" t="s">
        <v>49</v>
      </c>
      <c r="C46" s="92"/>
      <c r="X46" s="85"/>
    </row>
    <row r="47" spans="1:60">
      <c r="A47" s="80">
        <v>6</v>
      </c>
      <c r="B47" s="72" t="s">
        <v>50</v>
      </c>
      <c r="C47" s="92">
        <v>2061</v>
      </c>
    </row>
    <row r="48" spans="1:60">
      <c r="A48" s="96"/>
      <c r="B48" s="96"/>
      <c r="C48" s="76"/>
    </row>
    <row r="49" spans="1:3">
      <c r="A49" s="428"/>
      <c r="B49" s="129"/>
      <c r="C49" s="128"/>
    </row>
    <row r="51" spans="1:3">
      <c r="A51" s="50" t="s">
        <v>52</v>
      </c>
      <c r="B51" s="98" t="s">
        <v>53</v>
      </c>
    </row>
    <row r="70" spans="5:7">
      <c r="E70" s="88"/>
      <c r="F70" s="87"/>
      <c r="G70" s="87"/>
    </row>
    <row r="71" spans="5:7">
      <c r="E71" s="88"/>
      <c r="F71" s="87"/>
      <c r="G71" s="87"/>
    </row>
    <row r="72" spans="5:7">
      <c r="E72" s="88"/>
      <c r="F72" s="87"/>
      <c r="G72" s="87"/>
    </row>
    <row r="73" spans="5:7">
      <c r="E73" s="88"/>
      <c r="F73" s="87"/>
      <c r="G73" s="87"/>
    </row>
    <row r="74" spans="5:7">
      <c r="E74" s="88"/>
      <c r="F74" s="87"/>
      <c r="G74" s="87"/>
    </row>
    <row r="75" spans="5:7">
      <c r="E75" s="88"/>
      <c r="F75" s="87"/>
      <c r="G75" s="87"/>
    </row>
    <row r="76" spans="5:7">
      <c r="E76" s="88"/>
      <c r="F76" s="87"/>
      <c r="G76" s="87"/>
    </row>
    <row r="77" spans="5:7">
      <c r="E77" s="88"/>
      <c r="F77" s="87"/>
      <c r="G77" s="87"/>
    </row>
    <row r="78" spans="5:7">
      <c r="E78" s="88"/>
      <c r="F78" s="87"/>
      <c r="G78" s="87"/>
    </row>
    <row r="79" spans="5:7">
      <c r="E79" s="88"/>
      <c r="F79" s="87"/>
      <c r="G79" s="87"/>
    </row>
    <row r="80" spans="5:7">
      <c r="E80" s="88"/>
      <c r="F80" s="87"/>
      <c r="G80" s="87"/>
    </row>
    <row r="81" spans="5:7">
      <c r="E81" s="88"/>
      <c r="F81" s="87"/>
      <c r="G81" s="87"/>
    </row>
    <row r="82" spans="5:7">
      <c r="E82" s="88"/>
      <c r="F82" s="87"/>
      <c r="G82" s="87"/>
    </row>
    <row r="83" spans="5:7">
      <c r="E83" s="88"/>
      <c r="F83" s="87"/>
      <c r="G83" s="87"/>
    </row>
    <row r="84" spans="5:7">
      <c r="E84" s="88"/>
      <c r="F84" s="87"/>
      <c r="G84" s="87"/>
    </row>
    <row r="85" spans="5:7">
      <c r="E85" s="88"/>
      <c r="F85" s="87"/>
      <c r="G85" s="87"/>
    </row>
    <row r="86" spans="5:7">
      <c r="E86" s="88"/>
      <c r="F86" s="87"/>
      <c r="G86" s="87"/>
    </row>
    <row r="87" spans="5:7">
      <c r="E87" s="88"/>
      <c r="F87" s="87"/>
      <c r="G87" s="87"/>
    </row>
    <row r="88" spans="5:7">
      <c r="E88" s="88"/>
      <c r="F88" s="87"/>
      <c r="G88" s="87"/>
    </row>
    <row r="89" spans="5:7">
      <c r="E89" s="88"/>
      <c r="F89" s="87"/>
      <c r="G89" s="87"/>
    </row>
    <row r="90" spans="5:7">
      <c r="E90" s="88"/>
      <c r="F90" s="87"/>
      <c r="G90" s="87"/>
    </row>
    <row r="91" spans="5:7">
      <c r="E91" s="88"/>
      <c r="F91" s="87"/>
      <c r="G91" s="87"/>
    </row>
    <row r="92" spans="5:7">
      <c r="E92" s="88"/>
      <c r="F92" s="87"/>
      <c r="G92" s="87"/>
    </row>
    <row r="93" spans="5:7">
      <c r="E93" s="88"/>
      <c r="F93" s="87"/>
      <c r="G93" s="87"/>
    </row>
    <row r="94" spans="5:7">
      <c r="E94" s="88"/>
      <c r="F94" s="87"/>
      <c r="G94" s="87"/>
    </row>
    <row r="95" spans="5:7">
      <c r="E95" s="88"/>
      <c r="F95" s="87"/>
      <c r="G95" s="87"/>
    </row>
    <row r="96" spans="5:7">
      <c r="E96" s="88"/>
      <c r="F96" s="87"/>
      <c r="G96" s="87"/>
    </row>
    <row r="97" spans="5:7">
      <c r="E97" s="88"/>
      <c r="F97" s="87"/>
      <c r="G97" s="87"/>
    </row>
    <row r="98" spans="5:7">
      <c r="E98" s="88"/>
      <c r="F98" s="87"/>
      <c r="G98" s="87"/>
    </row>
    <row r="99" spans="5:7">
      <c r="E99" s="88"/>
      <c r="F99" s="87"/>
      <c r="G99" s="87"/>
    </row>
    <row r="100" spans="5:7">
      <c r="E100" s="88"/>
      <c r="F100" s="87"/>
      <c r="G100" s="87"/>
    </row>
    <row r="101" spans="5:7">
      <c r="E101" s="88"/>
      <c r="F101" s="87"/>
      <c r="G101" s="87"/>
    </row>
    <row r="102" spans="5:7">
      <c r="E102" s="88"/>
      <c r="F102" s="87"/>
      <c r="G102" s="87"/>
    </row>
    <row r="103" spans="5:7">
      <c r="E103" s="88"/>
      <c r="F103" s="87"/>
      <c r="G103" s="87"/>
    </row>
    <row r="104" spans="5:7">
      <c r="E104" s="88"/>
      <c r="F104" s="87"/>
      <c r="G104" s="87"/>
    </row>
    <row r="105" spans="5:7">
      <c r="E105" s="88"/>
      <c r="F105" s="87"/>
      <c r="G105" s="87"/>
    </row>
    <row r="106" spans="5:7">
      <c r="E106" s="88"/>
      <c r="F106" s="87"/>
      <c r="G106" s="87"/>
    </row>
    <row r="107" spans="5:7">
      <c r="E107" s="88"/>
      <c r="F107" s="87"/>
      <c r="G107" s="87"/>
    </row>
  </sheetData>
  <mergeCells count="11">
    <mergeCell ref="E16:E17"/>
    <mergeCell ref="F16:F17"/>
    <mergeCell ref="I16:I17"/>
    <mergeCell ref="E18:E19"/>
    <mergeCell ref="I18:I19"/>
    <mergeCell ref="E25:E26"/>
    <mergeCell ref="I25:I26"/>
    <mergeCell ref="E20:E21"/>
    <mergeCell ref="I20:I21"/>
    <mergeCell ref="E22:E24"/>
    <mergeCell ref="I22:I24"/>
  </mergeCells>
  <phoneticPr fontId="87" type="noConversion"/>
  <dataValidations count="30">
    <dataValidation allowBlank="1" showInputMessage="1" showErrorMessage="1" prompt="1 là chọn, 0 là bỏ chọn." sqref="AF1"/>
    <dataValidation allowBlank="1" showInputMessage="1" showErrorMessage="1" promptTitle="Hãy nhập tên công trình vào đây." prompt="Khi nhập vào đây sẽ hiển thị tại tiêu đề của tất cả các bảng khác, kể cả bìa, thuyết minh.&#10;Nên nhập CHỮ IN HOA." sqref="B4"/>
    <dataValidation allowBlank="1" showInputMessage="1" showErrorMessage="1" promptTitle="Hãy nhập tên hạng mục vào đây" prompt="Khi nhập vào đây sẽ hiển thị tại tiêu đề của tất cả các bảng khác, kể cả bìa, thuyết minh.&#10;Nên nhập CHỮ IN HOA." sqref="B6"/>
    <dataValidation allowBlank="1" showInputMessage="1" showErrorMessage="1" prompt="Hãy nhập tên Chủ đầu tư vào đây. NHẬP BẰNG CHỮ IN HOA." sqref="B8"/>
    <dataValidation allowBlank="1" showInputMessage="1" showErrorMessage="1" prompt="Nhập địa điểm xây dựng công trình vào đây. DÙNG CHỮ IN HOA." sqref="B10"/>
    <dataValidation allowBlank="1" showInputMessage="1" showErrorMessage="1" promptTitle="Nhập mức LTTC vào sẽ" prompt="Tác động kết quả trong NC XD, NC TB, nhan cong và GCM. Thường để tính bảng lương mới, rồi nối vào đơn giá chi tiết hoặc TH&amp;CLVT để bù chênh lệch NC.&#10;Theo Nghị định số 31/2012/NĐ-CP ngày 12/04/2012 của Chính phủ quy định mức lương tối thiểu chung." sqref="C22"/>
    <dataValidation allowBlank="1" showInputMessage="1" showErrorMessage="1" promptTitle="Nhập mức LTTV vào sẽ" prompt="Tác động kết quả trong NC XD, NC TB, nhan cong và GCM. Thường để tính bảng lương mới, rồi nối vào đơn giá chi tiết hoặc TH&amp;CLVT để bù chênh lệch NC.&#10;Nghị định số 70/2011/NĐ-CP ngày 22/08/2011 của Chính phủ quy định mức lương tối thiểu vùng." sqref="C23"/>
    <dataValidation allowBlank="1" showInputMessage="1" showErrorMessage="1" promptTitle="Nhập các khoản phụ cấp vào sẽ" prompt="Kết nối và tác động tới kết quả của các bảng tính tương tự như LTTC và LTTV.&#10;Thông tư số 05/2005/ TT-BLĐTBXH ngày 05/01/2005 của Bộ LĐTBXH hướng dẫn thực hiện chế độ phụ cấp lưu động." sqref="C24"/>
    <dataValidation allowBlank="1" showInputMessage="1" showErrorMessage="1" prompt="Thông tư liên tịch số 10/2005/TTLT-BNV-BLĐTBXH-BTC ngày 05/1/2005 của Bộ Nội vụ - Bộ Lao động - thương binh và xã hội – Bộ Tài chính hướng dẫn thực hiện chế độ  phụ cấp thu hút." sqref="C29"/>
    <dataValidation allowBlank="1" showInputMessage="1" showErrorMessage="1" prompt="Thông tư số 04/2005/TT-BLĐTBXH của Bộ Lao động thương binh và xã hội ngày 05/01/2005 về việc hướng dẫn thực hiện chế độ phụ cấp độc hại, nguy hiểm." sqref="C30"/>
    <dataValidation allowBlank="1" showInputMessage="1" showErrorMessage="1" prompt="Thông tư số 09/2005/TT-BNV ngày 05/01/2005 của Bộ Nội vụ hướng dẫn thực hiện chế độ phụ cấp đặc biệt đối với cán bộ, công chức, viên chức và lực lượng vũ trang" sqref="C31"/>
    <dataValidation allowBlank="1" showInputMessage="1" showErrorMessage="1" prompt="Thông tư liên tịch số 11/2005/TTLT-BNV-BLĐTBXH-BTC-UBDT ngày 05/01/2005 của Bộ Nội vụ, Bộ Lao động - Thương binh và Xã hội, Bộ Tài chính, UB Dân tộc hướng dẫn thực hiện chế độ phụ cấp khu vực" sqref="C28"/>
    <dataValidation allowBlank="1" showInputMessage="1" showErrorMessage="1" prompt="Thông tư số 08/2005/TT-BNV-BTC ngày 05/01/2005 của Bộ Nội vụ và Bộ Tài chính hướng dẫn chế độ phụ cấp làm đêm, làm thêm giờ" sqref="C32"/>
    <dataValidation allowBlank="1" showInputMessage="1" showErrorMessage="1" prompt="Hãy chọn hệ số ở phần hướng dẫn chung trong cuốn đơn giá của địa phương nơi công trình bạn đang lập dự toán." sqref="C27"/>
    <dataValidation allowBlank="1" showInputMessage="1" showErrorMessage="1" promptTitle="Dữ liệu này để tính bù GCM" prompt="Nhập giá tra từ quyển giá ca máy địa phương vào. Dữ liệu này có thể sử dụng để tính bù chênh lệch máy. Nhưng hiện giờ ít dùng. Vì bảng GCM đã được thiết lập công thức khác đi." sqref="C35:C40"/>
    <dataValidation allowBlank="1" showInputMessage="1" showErrorMessage="1" prompt="Nhập giá nhiên liệu, năng lượng ở thời điểm hiện tại vào đây." sqref="C45:C46"/>
    <dataValidation allowBlank="1" showInputMessage="1" showErrorMessage="1" promptTitle="Nhập giá xăng hiện tại vào đây" prompt="Thường lấy theo thông cáo báo chí của TCT Xăng dầu VN. Dữ liệu này liên kết và tính toán đến sheet GCM XD và GCM TB khi tính giá ca máy mới." sqref="C42"/>
    <dataValidation allowBlank="1" showInputMessage="1" showErrorMessage="1" promptTitle="Nhập giá Diezel hiện tại vào" prompt="Thường lấy theo thông cáo báo chí của TCT Xăng dầu VN ở thời điểm hiện tại. Dữ liệu này liên kết và tính toán đến sheet GCM XD và GCM TB khi tính giá ca máy mới." sqref="C43"/>
    <dataValidation allowBlank="1" showInputMessage="1" showErrorMessage="1" promptTitle="Nhập giá Ma dút vào" prompt="Thường lấy theo thông cáo báo chí của TCT Xăng dầu VN ở thời điểm hiện tại. Dữ liệu này liên kết và tính toán đến sheet GCM XD và GCM TB khi tính giá ca máy mới." sqref="C44"/>
    <dataValidation allowBlank="1" showInputMessage="1" showErrorMessage="1" promptTitle="Nhập giá điện hiện tại vào" prompt="Thường lấy theo thông tư về giá điện của Bộ Công thương, tìm trên website EVN. Dữ liệu này liên kết và tính toán đến sheet GCM XD và GCM TB khi tính giá ca máy mới." sqref="C47"/>
    <dataValidation allowBlank="1" showInputMessage="1" showErrorMessage="1" prompt="Mục 1.2.2 Phụ lục 6, Thông tư 04/2010/TT-BXD ngày 26/5/2010 của Bộ Xây dựng." sqref="C25:C26"/>
    <dataValidation allowBlank="1" showInputMessage="1" showErrorMessage="1" promptTitle="Tra tương tự hệ số nhân công" prompt="Nếu địa phương chưa ban hành văn bản hướng dẫn điều chỉnh để tra hệ số. Thì sử dụng phương pháp bù giá ca máy của phần mềm để điều chỉnh giá ca máy.&#10;Cần biết mặt bằng đơn giá VL, NC, M sử dụng trong sheet Dutoan XD và TB để tra hệ số cho phù hợp." sqref="C14"/>
    <dataValidation allowBlank="1" showInputMessage="1" showErrorMessage="1" promptTitle="Tra bảng 3.7 - TT04/2010" prompt="Bảng 3.7 Thông tư 04/2010/TT-BXD nằm ở phía phải. Muốn tra được cần biết phân loại công trình theo Thông tư 33/2009/TT-BXD và NĐ 209/2004/NĐ-CP." sqref="C15"/>
    <dataValidation allowBlank="1" showInputMessage="1" showErrorMessage="1" promptTitle="Tra bảng 3.8 - TT04/2010" prompt="Bảng 3.8 Thông tư 04/2010/TT-BXD nằm ở phía phải. Muốn tra được cần biết phân loại công trình theo Thông tư 33/2009/TT-BXD và NĐ 209/2004/NĐ-CP." sqref="C16:C17"/>
    <dataValidation allowBlank="1" showInputMessage="1" showErrorMessage="1" promptTitle="Mục 1.1.5, Điều 7, TT-4/2010" prompt="2% đối với các công trình đi theo tuyến như đường dây tải điện, đường dây thông tin bưu điện, đường giao thông, kênh mương, đường ống, các công trình thi công dạng tuyến khác và bằng tỷ lệ 1% đối với các công trình còn lại" sqref="C19"/>
    <dataValidation allowBlank="1" showInputMessage="1" showErrorMessage="1" promptTitle="Dùng khi lập dự toán khảo sát" prompt="Thông tư số 12/2008/TT-BXD ngày 07/05/2008 hướng dẫn việc lập và quản lý chi phí khảo sát xây dựng.&#10;Dùng định mức số 1779 để lập dự toán khảo sát." sqref="C20"/>
    <dataValidation allowBlank="1" showInputMessage="1" showErrorMessage="1" prompt="Hệ số này thường tra trong văn bản hướng dẫn điều chỉnh dự toán của địa phương hoặc ngành. Thường hệ số khác 1 khi sử dụng đơn giá địa phương để lập DT.&#10;Cần biết mặt bằng đơn giá VL, NC, M sử dụng trong sheet Dutoan XD và TB để tra hệ số cho phù hợp." sqref="C12:C13"/>
    <dataValidation allowBlank="1" showInputMessage="1" showErrorMessage="1" prompt="Số liệu ở đây sẽ cho phép tra cứu khi tính cước vận chuyển VLHT.&#10;Có thể thay đổi cho phù hợp với địa phương. Khi đó mở file template, sửa và lưu lại để sử dụng cho lần sau." sqref="R2:T6 R11:T16"/>
    <dataValidation allowBlank="1" showInputMessage="1" showErrorMessage="1" prompt="Khi cần làm bảng dự toán tiếng Anh hoặc song ngữ thì chỉnh sửa phần này trước. Khi chạy phần mềm những nơi hiển thị các thuật ngữ này sẽ được chỉnh sửa theo." sqref="X3:X32"/>
    <dataValidation allowBlank="1" showInputMessage="1" showErrorMessage="1" promptTitle="Dự toán GXD 2012" prompt="Đóng gói tối 31/12/2011 tại Buôn Mê Thuột. Món quà chào mừng năm mới 2012." sqref="D1"/>
  </dataValidations>
  <hyperlinks>
    <hyperlink ref="A1" location="ML!A1" tooltip="Về mục lục" display="CÁC THÔNG SỐ BAN ĐẦU VỀ CÔNG TRÌNH"/>
  </hyperlinks>
  <printOptions horizontalCentered="1"/>
  <pageMargins left="0.70866141732283472" right="0.31496062992125984" top="0.74803149606299213" bottom="0.74803149606299213" header="0.31496062992125984" footer="0.31496062992125984"/>
  <pageSetup paperSize="9" orientation="portrait" horizontalDpi="300" verticalDpi="300" r:id="rId1"/>
  <headerFooter>
    <oddHeader>&amp;L&amp;"+,nghiêng"&amp;10Dự toán GXD - www.giaxaydung.vn</oddHeader>
    <oddFooter>&amp;C&amp;P</oddFooter>
  </headerFooter>
</worksheet>
</file>

<file path=xl/worksheets/sheet20.xml><?xml version="1.0" encoding="utf-8"?>
<worksheet xmlns="http://schemas.openxmlformats.org/spreadsheetml/2006/main" xmlns:r="http://schemas.openxmlformats.org/officeDocument/2006/relationships">
  <sheetPr codeName="shDCHDXD">
    <tabColor rgb="FFFFC000"/>
  </sheetPr>
  <dimension ref="B1:L60"/>
  <sheetViews>
    <sheetView topLeftCell="A28" workbookViewId="0">
      <selection activeCell="A3" sqref="A3"/>
    </sheetView>
  </sheetViews>
  <sheetFormatPr defaultRowHeight="15"/>
  <cols>
    <col min="1" max="1" width="3.140625" style="1135" customWidth="1"/>
    <col min="2" max="2" width="4.5703125" style="1135" customWidth="1"/>
    <col min="3" max="3" width="19.5703125" style="1135" customWidth="1"/>
    <col min="4" max="4" width="20.28515625" style="1135" customWidth="1"/>
    <col min="5" max="5" width="21.42578125" style="1135" customWidth="1"/>
    <col min="6" max="6" width="20.42578125" style="1135" customWidth="1"/>
    <col min="7" max="16384" width="9.140625" style="1135"/>
  </cols>
  <sheetData>
    <row r="1" spans="2:6" ht="19.5">
      <c r="B1" s="1133" t="s">
        <v>1046</v>
      </c>
      <c r="C1" s="1134"/>
      <c r="D1" s="1134"/>
      <c r="E1" s="1134"/>
      <c r="F1" s="1134"/>
    </row>
    <row r="3" spans="2:6">
      <c r="B3" s="371" t="s">
        <v>660</v>
      </c>
      <c r="C3" s="1358" t="s">
        <v>1047</v>
      </c>
      <c r="D3" s="1359"/>
      <c r="E3" s="1359"/>
      <c r="F3" s="371" t="s">
        <v>269</v>
      </c>
    </row>
    <row r="4" spans="2:6">
      <c r="B4" s="1136" t="s">
        <v>908</v>
      </c>
      <c r="C4" s="1360" t="s">
        <v>911</v>
      </c>
      <c r="D4" s="1361"/>
      <c r="E4" s="1361"/>
      <c r="F4" s="1136" t="s">
        <v>912</v>
      </c>
    </row>
    <row r="5" spans="2:6" ht="17.25">
      <c r="B5" s="1137" t="s">
        <v>173</v>
      </c>
      <c r="C5" s="1138" t="s">
        <v>1048</v>
      </c>
      <c r="D5" s="1139"/>
      <c r="E5" s="1139"/>
      <c r="F5" s="1199">
        <f ca="1">'Tong hop kinh phi'!G16</f>
        <v>128535781.68804762</v>
      </c>
    </row>
    <row r="6" spans="2:6" ht="16.5">
      <c r="B6" s="1140">
        <v>1</v>
      </c>
      <c r="C6" s="1141" t="s">
        <v>1049</v>
      </c>
      <c r="D6" s="1142"/>
      <c r="E6" s="1142"/>
      <c r="F6" s="1198">
        <f>'Tong hop kinh phi'!G7</f>
        <v>109606069.10259347</v>
      </c>
    </row>
    <row r="7" spans="2:6" ht="16.5">
      <c r="B7" s="1140">
        <v>2</v>
      </c>
      <c r="C7" s="1141" t="s">
        <v>1050</v>
      </c>
      <c r="D7" s="1142"/>
      <c r="E7" s="1142"/>
      <c r="F7" s="1143">
        <f>SUM(F8:F10)</f>
        <v>0</v>
      </c>
    </row>
    <row r="8" spans="2:6">
      <c r="B8" s="1144"/>
      <c r="C8" s="1145" t="s">
        <v>1051</v>
      </c>
      <c r="D8" s="1142"/>
      <c r="E8" s="1142"/>
      <c r="F8" s="1146">
        <f>'TH CP thiet bi'!F7</f>
        <v>0</v>
      </c>
    </row>
    <row r="9" spans="2:6">
      <c r="B9" s="1144"/>
      <c r="C9" s="1145" t="s">
        <v>1052</v>
      </c>
      <c r="D9" s="1142"/>
      <c r="E9" s="1142"/>
      <c r="F9" s="1146">
        <f>'TH CP thiet bi'!F8</f>
        <v>0</v>
      </c>
    </row>
    <row r="10" spans="2:6">
      <c r="B10" s="1144"/>
      <c r="C10" s="1145" t="s">
        <v>1053</v>
      </c>
      <c r="D10" s="1142"/>
      <c r="E10" s="1142"/>
      <c r="F10" s="1146">
        <f>'TH CP thiet bi'!F9</f>
        <v>0</v>
      </c>
    </row>
    <row r="11" spans="2:6" ht="16.5">
      <c r="B11" s="1140">
        <v>3</v>
      </c>
      <c r="C11" s="1141" t="s">
        <v>1054</v>
      </c>
      <c r="D11" s="1142"/>
      <c r="E11" s="1142"/>
      <c r="F11" s="1147">
        <f ca="1">F5-F6-F7</f>
        <v>18929712.585454151</v>
      </c>
    </row>
    <row r="12" spans="2:6">
      <c r="B12" s="1144"/>
      <c r="C12" s="1145" t="s">
        <v>1055</v>
      </c>
      <c r="D12" s="1142"/>
      <c r="E12" s="1142"/>
      <c r="F12" s="1143" t="e">
        <f>'Tong hop kinh phi'!#REF!</f>
        <v>#REF!</v>
      </c>
    </row>
    <row r="13" spans="2:6">
      <c r="B13" s="1144"/>
      <c r="C13" s="1145" t="s">
        <v>1056</v>
      </c>
      <c r="D13" s="1142"/>
      <c r="E13" s="1142"/>
      <c r="F13" s="1143" t="e">
        <f>SUM('Tong hop kinh phi'!#REF!)</f>
        <v>#REF!</v>
      </c>
    </row>
    <row r="14" spans="2:6">
      <c r="B14" s="1144"/>
      <c r="C14" s="1145" t="s">
        <v>1057</v>
      </c>
      <c r="D14" s="1142"/>
      <c r="E14" s="1142"/>
      <c r="F14" s="1143">
        <f ca="1">'Tong hop kinh phi'!G12</f>
        <v>2514961.0764995078</v>
      </c>
    </row>
    <row r="15" spans="2:6">
      <c r="B15" s="1148" t="s">
        <v>177</v>
      </c>
      <c r="C15" s="1149" t="s">
        <v>1058</v>
      </c>
      <c r="D15" s="1142"/>
      <c r="E15" s="1142"/>
      <c r="F15" s="1150"/>
    </row>
    <row r="16" spans="2:6" ht="16.5">
      <c r="B16" s="1140">
        <v>1</v>
      </c>
      <c r="C16" s="1141" t="s">
        <v>1059</v>
      </c>
      <c r="D16" s="1142"/>
      <c r="E16" s="1142"/>
      <c r="F16" s="1151">
        <f ca="1">IF(ISERROR(F6/$F$5),0,F6/$F$5)</f>
        <v>0.85272807044970578</v>
      </c>
    </row>
    <row r="17" spans="2:12" ht="16.5">
      <c r="B17" s="1140">
        <v>2</v>
      </c>
      <c r="C17" s="1141" t="s">
        <v>1060</v>
      </c>
      <c r="D17" s="1142"/>
      <c r="E17" s="1142"/>
      <c r="F17" s="1151">
        <f ca="1">IF(ISERROR(F7/$F$5),0,F7/$F$5)</f>
        <v>0</v>
      </c>
    </row>
    <row r="18" spans="2:12">
      <c r="B18" s="1144"/>
      <c r="C18" s="1145" t="s">
        <v>1061</v>
      </c>
      <c r="D18" s="1142"/>
      <c r="E18" s="1142"/>
      <c r="F18" s="1152"/>
    </row>
    <row r="19" spans="2:12">
      <c r="B19" s="1144"/>
      <c r="C19" s="1145" t="s">
        <v>1062</v>
      </c>
      <c r="D19" s="1142"/>
      <c r="E19" s="1142"/>
      <c r="F19" s="1153">
        <f>IF(ISERROR(F8/$F$7),0,F8/$F$7)</f>
        <v>0</v>
      </c>
    </row>
    <row r="20" spans="2:12">
      <c r="B20" s="1144"/>
      <c r="C20" s="1145" t="s">
        <v>1063</v>
      </c>
      <c r="D20" s="1142"/>
      <c r="E20" s="1142"/>
      <c r="F20" s="1153">
        <f>IF(ISERROR(F9/$F$7),0,F9/$F$7)</f>
        <v>0</v>
      </c>
    </row>
    <row r="21" spans="2:12">
      <c r="B21" s="1144"/>
      <c r="C21" s="1145" t="s">
        <v>1064</v>
      </c>
      <c r="D21" s="1142"/>
      <c r="E21" s="1142"/>
      <c r="F21" s="1153">
        <f>IF(ISERROR(F10/$F$7),0,F10/$F$7)</f>
        <v>0</v>
      </c>
    </row>
    <row r="22" spans="2:12" ht="16.5">
      <c r="B22" s="1140">
        <v>3</v>
      </c>
      <c r="C22" s="1141" t="s">
        <v>1065</v>
      </c>
      <c r="D22" s="1142"/>
      <c r="E22" s="1142"/>
      <c r="F22" s="1151">
        <f ca="1">IF(ISERROR(F11/$F$5),0,F11/$F$5)</f>
        <v>0.14727192955029425</v>
      </c>
    </row>
    <row r="23" spans="2:12">
      <c r="B23" s="1144"/>
      <c r="C23" s="1145" t="s">
        <v>1061</v>
      </c>
      <c r="D23" s="1142"/>
      <c r="E23" s="1142"/>
      <c r="F23" s="1152"/>
    </row>
    <row r="24" spans="2:12">
      <c r="B24" s="1144"/>
      <c r="C24" s="1145" t="s">
        <v>1066</v>
      </c>
      <c r="D24" s="1142"/>
      <c r="E24" s="1142"/>
      <c r="F24" s="1153">
        <f ca="1">IF(ISERROR(F12/$F$11),0,F12/$F$11)</f>
        <v>0</v>
      </c>
    </row>
    <row r="25" spans="2:12">
      <c r="B25" s="1144"/>
      <c r="C25" s="1145" t="s">
        <v>1067</v>
      </c>
      <c r="D25" s="1142"/>
      <c r="E25" s="1142"/>
      <c r="F25" s="1153">
        <f ca="1">IF(ISERROR(F13/$F$11),0,F13/$F$11)</f>
        <v>0</v>
      </c>
    </row>
    <row r="26" spans="2:12">
      <c r="B26" s="1144"/>
      <c r="C26" s="1145" t="s">
        <v>1068</v>
      </c>
      <c r="D26" s="1142"/>
      <c r="E26" s="1142"/>
      <c r="F26" s="1153">
        <f ca="1">IF(ISERROR(F14/$F$11),0,F14/$F$11)</f>
        <v>0.13285785851984028</v>
      </c>
    </row>
    <row r="27" spans="2:12">
      <c r="B27" s="1154"/>
      <c r="C27" s="1155"/>
      <c r="D27" s="1156"/>
      <c r="E27" s="1156"/>
      <c r="F27" s="1154"/>
    </row>
    <row r="30" spans="2:12" ht="27.75" customHeight="1">
      <c r="B30" s="1133" t="s">
        <v>1069</v>
      </c>
      <c r="C30" s="1157"/>
      <c r="D30" s="1157"/>
      <c r="E30" s="1134"/>
      <c r="F30" s="1134"/>
      <c r="G30" s="1158"/>
      <c r="H30" s="1158"/>
      <c r="I30" s="1158"/>
      <c r="J30" s="1158"/>
      <c r="K30" s="1159"/>
      <c r="L30" s="1160"/>
    </row>
    <row r="31" spans="2:12" ht="18.75">
      <c r="B31" s="407" t="str">
        <f>'Bia1'!D42&amp;'Bia1'!E42</f>
        <v>CÔNG TRÌNH: NHÀ BIỆT THỰ GXD</v>
      </c>
      <c r="C31" s="407"/>
      <c r="D31" s="407"/>
      <c r="E31" s="1134"/>
      <c r="F31" s="1134"/>
      <c r="G31" s="1158"/>
      <c r="H31" s="1158"/>
      <c r="I31" s="1158"/>
      <c r="J31" s="1158"/>
    </row>
    <row r="32" spans="2:12" ht="18.75">
      <c r="B32" s="407" t="str">
        <f>'Bia1'!D43&amp;'Bia1'!E43</f>
        <v>HẠNG MỤC: ĐỔI BẢNG MÃ FONT RẤT ĐƠN GIẢN TRONG DỰ TOÁN GXD</v>
      </c>
      <c r="C32" s="407"/>
      <c r="D32" s="407"/>
      <c r="E32" s="1134"/>
      <c r="F32" s="1134"/>
      <c r="G32" s="1158"/>
      <c r="H32" s="1158"/>
      <c r="I32" s="1158"/>
      <c r="J32" s="1158"/>
    </row>
    <row r="34" spans="2:6">
      <c r="B34" s="1161" t="s">
        <v>1070</v>
      </c>
      <c r="E34" s="1162"/>
    </row>
    <row r="35" spans="2:6" ht="20.100000000000001" customHeight="1">
      <c r="B35" s="1161"/>
      <c r="C35" s="1163" t="s">
        <v>1071</v>
      </c>
      <c r="E35" s="1201">
        <v>1</v>
      </c>
    </row>
    <row r="36" spans="2:6" ht="20.100000000000001" customHeight="1">
      <c r="B36" s="1161"/>
      <c r="C36" s="1163" t="s">
        <v>1072</v>
      </c>
      <c r="E36" s="1201">
        <v>1</v>
      </c>
    </row>
    <row r="37" spans="2:6" ht="20.100000000000001" customHeight="1">
      <c r="B37" s="1161"/>
      <c r="C37" s="1163" t="s">
        <v>1073</v>
      </c>
      <c r="E37" s="1201">
        <v>1</v>
      </c>
    </row>
    <row r="38" spans="2:6" ht="20.100000000000001" customHeight="1">
      <c r="B38" s="1161"/>
      <c r="C38" s="1163" t="s">
        <v>1074</v>
      </c>
      <c r="E38" s="1201">
        <v>0</v>
      </c>
      <c r="F38" s="1163"/>
    </row>
    <row r="39" spans="2:6" ht="19.5" customHeight="1">
      <c r="C39" s="1163" t="s">
        <v>1075</v>
      </c>
      <c r="E39" s="1201">
        <v>0</v>
      </c>
    </row>
    <row r="40" spans="2:6" ht="18.75" customHeight="1">
      <c r="C40" s="1163" t="s">
        <v>1076</v>
      </c>
      <c r="E40" s="1202">
        <f>E35+E36+E37</f>
        <v>3</v>
      </c>
    </row>
    <row r="42" spans="2:6">
      <c r="B42" s="1164" t="s">
        <v>1077</v>
      </c>
    </row>
    <row r="44" spans="2:6" ht="38.25" customHeight="1">
      <c r="B44" s="1165" t="s">
        <v>660</v>
      </c>
      <c r="C44" s="1166" t="s">
        <v>1078</v>
      </c>
      <c r="D44" s="1166" t="s">
        <v>1079</v>
      </c>
      <c r="E44" s="1166" t="s">
        <v>1080</v>
      </c>
      <c r="F44" s="1166" t="s">
        <v>1081</v>
      </c>
    </row>
    <row r="45" spans="2:6" ht="14.25" customHeight="1">
      <c r="B45" s="1167">
        <v>1</v>
      </c>
      <c r="C45" s="1168" t="s">
        <v>1082</v>
      </c>
      <c r="D45" s="1168" t="s">
        <v>1083</v>
      </c>
      <c r="E45" s="1168" t="s">
        <v>1084</v>
      </c>
      <c r="F45" s="1169" t="s">
        <v>1085</v>
      </c>
    </row>
    <row r="46" spans="2:6">
      <c r="B46" s="1170">
        <v>2</v>
      </c>
      <c r="C46" s="1171">
        <f>1-(D46+E46+F46)</f>
        <v>1</v>
      </c>
      <c r="D46" s="1171">
        <f>IF(E39=0,0,E36/E39)</f>
        <v>0</v>
      </c>
      <c r="E46" s="1171">
        <f>IF(E39=0,0,E37/E39)</f>
        <v>0</v>
      </c>
      <c r="F46" s="1172">
        <f>IF(E39=0,0,E35/E39)</f>
        <v>0</v>
      </c>
    </row>
    <row r="49" spans="2:6">
      <c r="B49" s="1164" t="s">
        <v>1086</v>
      </c>
    </row>
    <row r="51" spans="2:6" ht="24">
      <c r="B51" s="1165" t="s">
        <v>660</v>
      </c>
      <c r="C51" s="1166" t="s">
        <v>1078</v>
      </c>
      <c r="D51" s="1166" t="s">
        <v>1079</v>
      </c>
      <c r="E51" s="1166" t="s">
        <v>1080</v>
      </c>
      <c r="F51" s="1166" t="s">
        <v>1081</v>
      </c>
    </row>
    <row r="52" spans="2:6">
      <c r="B52" s="1167">
        <v>1</v>
      </c>
      <c r="C52" s="1168" t="s">
        <v>1087</v>
      </c>
      <c r="D52" s="1168" t="s">
        <v>1088</v>
      </c>
      <c r="E52" s="1168" t="s">
        <v>1089</v>
      </c>
      <c r="F52" s="1169" t="s">
        <v>1090</v>
      </c>
    </row>
    <row r="53" spans="2:6">
      <c r="B53" s="1173">
        <v>2</v>
      </c>
      <c r="C53" s="1174">
        <f>IF(E39=0,0,1-E40/E39*(1-E38))</f>
        <v>0</v>
      </c>
      <c r="D53" s="1174">
        <f>E36/E40*(1-C53)</f>
        <v>0.33333333333333331</v>
      </c>
      <c r="E53" s="1174">
        <f>E37/E40*(1-C53)</f>
        <v>0.33333333333333331</v>
      </c>
      <c r="F53" s="1175">
        <f>E35/E40*(1-C53)</f>
        <v>0.33333333333333331</v>
      </c>
    </row>
    <row r="56" spans="2:6">
      <c r="B56" s="1164" t="s">
        <v>1091</v>
      </c>
    </row>
    <row r="58" spans="2:6" ht="24">
      <c r="B58" s="1165" t="s">
        <v>660</v>
      </c>
      <c r="C58" s="1166" t="s">
        <v>1078</v>
      </c>
      <c r="D58" s="1166" t="s">
        <v>1079</v>
      </c>
      <c r="E58" s="1166" t="s">
        <v>1080</v>
      </c>
      <c r="F58" s="1166" t="s">
        <v>1081</v>
      </c>
    </row>
    <row r="59" spans="2:6">
      <c r="B59" s="1167">
        <v>1</v>
      </c>
      <c r="C59" s="1168"/>
      <c r="D59" s="1168" t="s">
        <v>1088</v>
      </c>
      <c r="E59" s="1168" t="s">
        <v>1089</v>
      </c>
      <c r="F59" s="1169" t="s">
        <v>1090</v>
      </c>
    </row>
    <row r="60" spans="2:6" ht="15" customHeight="1">
      <c r="B60" s="1173">
        <v>2</v>
      </c>
      <c r="C60" s="1174"/>
      <c r="D60" s="1174">
        <f>E36/E40*(1-C60)</f>
        <v>0.33333333333333331</v>
      </c>
      <c r="E60" s="1174">
        <f>E37/E40*(1-C60)</f>
        <v>0.33333333333333331</v>
      </c>
      <c r="F60" s="1175">
        <f>E35/E40*(1-C60)</f>
        <v>0.33333333333333331</v>
      </c>
    </row>
  </sheetData>
  <mergeCells count="2">
    <mergeCell ref="C3:E3"/>
    <mergeCell ref="C4:E4"/>
  </mergeCells>
  <hyperlinks>
    <hyperlink ref="B30" location="MucLuc!A1" tooltip="Kích để về mục lục hoặc ấn F2 để sửa tên bảng" display="BẢNG PHÂN TÍCH VẬT TƯ DỰ THẦU"/>
  </hyperlinks>
  <pageMargins left="0.7" right="0.7" top="0.75" bottom="0.75" header="0.3" footer="0.3"/>
  <pageSetup orientation="portrait" r:id="rId1"/>
  <legacyDrawing r:id="rId2"/>
</worksheet>
</file>

<file path=xl/worksheets/sheet21.xml><?xml version="1.0" encoding="utf-8"?>
<worksheet xmlns="http://schemas.openxmlformats.org/spreadsheetml/2006/main" xmlns:r="http://schemas.openxmlformats.org/officeDocument/2006/relationships">
  <sheetPr codeName="shDTDTXD">
    <tabColor rgb="FF00B050"/>
  </sheetPr>
  <dimension ref="A1:S6"/>
  <sheetViews>
    <sheetView zoomScale="115" zoomScaleNormal="115" workbookViewId="0">
      <selection activeCell="C17" sqref="C17"/>
    </sheetView>
  </sheetViews>
  <sheetFormatPr defaultColWidth="9" defaultRowHeight="15.75"/>
  <cols>
    <col min="1" max="1" width="4" style="39" customWidth="1"/>
    <col min="2" max="2" width="10.7109375" style="34" customWidth="1"/>
    <col min="3" max="3" width="32.7109375" style="35" customWidth="1"/>
    <col min="4" max="4" width="7" style="359" bestFit="1" customWidth="1"/>
    <col min="5" max="5" width="11.28515625" style="360" customWidth="1"/>
    <col min="6" max="6" width="11.7109375" style="367" customWidth="1"/>
    <col min="7" max="7" width="14.7109375" style="367" customWidth="1"/>
    <col min="8" max="19" width="9" style="367" hidden="1" customWidth="1"/>
    <col min="20" max="16384" width="9" style="28"/>
  </cols>
  <sheetData>
    <row r="1" spans="1:19" ht="27.95" customHeight="1">
      <c r="A1" s="2" t="s">
        <v>623</v>
      </c>
      <c r="B1" s="369"/>
      <c r="C1" s="352"/>
      <c r="D1" s="352"/>
      <c r="E1" s="353"/>
      <c r="F1" s="365"/>
      <c r="G1" s="365"/>
    </row>
    <row r="2" spans="1:19" ht="20.100000000000001" customHeight="1">
      <c r="A2" s="3" t="str">
        <f>'Bia1'!D42&amp;'Bia1'!E42</f>
        <v>CÔNG TRÌNH: NHÀ BIỆT THỰ GXD</v>
      </c>
      <c r="B2" s="370"/>
      <c r="C2" s="355"/>
      <c r="D2" s="355"/>
      <c r="E2" s="356"/>
      <c r="F2" s="366"/>
      <c r="G2" s="366"/>
    </row>
    <row r="3" spans="1:19" ht="20.100000000000001" customHeight="1">
      <c r="A3" s="3" t="str">
        <f>'Bia1'!D43&amp;'Bia1'!E43</f>
        <v>HẠNG MỤC: ĐỔI BẢNG MÃ FONT RẤT ĐƠN GIẢN TRONG DỰ TOÁN GXD</v>
      </c>
      <c r="B3" s="370"/>
      <c r="C3" s="355"/>
      <c r="D3" s="355"/>
      <c r="E3" s="356"/>
      <c r="F3" s="366"/>
      <c r="G3" s="366"/>
    </row>
    <row r="4" spans="1:19">
      <c r="A4" s="28"/>
      <c r="B4" s="358"/>
    </row>
    <row r="5" spans="1:19" s="411" customFormat="1" ht="20.100000000000001" customHeight="1">
      <c r="A5" s="281" t="s">
        <v>660</v>
      </c>
      <c r="B5" s="281" t="s">
        <v>302</v>
      </c>
      <c r="C5" s="281" t="s">
        <v>303</v>
      </c>
      <c r="D5" s="281" t="s">
        <v>304</v>
      </c>
      <c r="E5" s="281" t="s">
        <v>328</v>
      </c>
      <c r="F5" s="281" t="s">
        <v>305</v>
      </c>
      <c r="G5" s="281" t="s">
        <v>306</v>
      </c>
      <c r="H5" s="281" t="s">
        <v>877</v>
      </c>
      <c r="I5" s="281" t="s">
        <v>880</v>
      </c>
      <c r="J5" s="281" t="s">
        <v>878</v>
      </c>
      <c r="K5" s="281" t="s">
        <v>879</v>
      </c>
      <c r="L5" s="281" t="s">
        <v>9</v>
      </c>
      <c r="M5" s="281" t="s">
        <v>288</v>
      </c>
      <c r="N5" s="281" t="s">
        <v>277</v>
      </c>
      <c r="O5" s="281" t="s">
        <v>186</v>
      </c>
      <c r="P5" s="281" t="s">
        <v>293</v>
      </c>
      <c r="Q5" s="281" t="s">
        <v>295</v>
      </c>
      <c r="R5" s="281" t="s">
        <v>881</v>
      </c>
      <c r="S5" s="281" t="s">
        <v>882</v>
      </c>
    </row>
    <row r="6" spans="1:19">
      <c r="A6" s="872" t="s">
        <v>908</v>
      </c>
      <c r="B6" s="872" t="s">
        <v>911</v>
      </c>
      <c r="C6" s="872" t="s">
        <v>912</v>
      </c>
      <c r="D6" s="872" t="s">
        <v>913</v>
      </c>
      <c r="E6" s="872" t="s">
        <v>914</v>
      </c>
      <c r="F6" s="872" t="s">
        <v>915</v>
      </c>
      <c r="G6" s="872" t="s">
        <v>944</v>
      </c>
    </row>
  </sheetData>
  <phoneticPr fontId="87" type="noConversion"/>
  <conditionalFormatting sqref="G6">
    <cfRule type="cellIs" dxfId="18" priority="1" stopIfTrue="1" operator="greaterThan">
      <formula>F6</formula>
    </cfRule>
    <cfRule type="cellIs" dxfId="17" priority="2" stopIfTrue="1" operator="lessThan">
      <formula>F6</formula>
    </cfRule>
  </conditionalFormatting>
  <dataValidations count="1">
    <dataValidation allowBlank="1" showInputMessage="1" showErrorMessage="1" sqref="B6"/>
  </dataValidations>
  <hyperlinks>
    <hyperlink ref="A1" location="'DGCT XD'!A1" tooltip="Về bảng đơn giá chi tiết" display="BẢNG DỰ TOÁN DỰ THẦU THI CÔNG XÂY DỰNG"/>
  </hyperlinks>
  <printOptions horizontalCentered="1"/>
  <pageMargins left="0.75" right="0.25" top="0.5" bottom="0.5" header="0.25" footer="0.25"/>
  <pageSetup paperSize="9" orientation="portrait" blackAndWhite="1" horizontalDpi="300" verticalDpi="300" r:id="rId1"/>
  <headerFooter>
    <oddHeader>&amp;L&amp;"+,nghiêng"&amp;10Dự toán GXD - www.giaxaydung.vn</oddHeader>
    <oddFooter>&amp;C&amp;P</oddFooter>
  </headerFooter>
  <ignoredErrors>
    <ignoredError sqref="A2:A3" unlockedFormula="1"/>
  </ignoredErrors>
</worksheet>
</file>

<file path=xl/worksheets/sheet22.xml><?xml version="1.0" encoding="utf-8"?>
<worksheet xmlns="http://schemas.openxmlformats.org/spreadsheetml/2006/main" xmlns:r="http://schemas.openxmlformats.org/officeDocument/2006/relationships">
  <sheetPr codeName="shVCLCXD">
    <tabColor indexed="51"/>
  </sheetPr>
  <dimension ref="A1:E6"/>
  <sheetViews>
    <sheetView zoomScale="85" zoomScaleNormal="85" workbookViewId="0">
      <selection activeCell="B7" sqref="B7"/>
    </sheetView>
  </sheetViews>
  <sheetFormatPr defaultColWidth="9" defaultRowHeight="15.75"/>
  <cols>
    <col min="1" max="1" width="4.42578125" style="39" customWidth="1"/>
    <col min="2" max="2" width="11.85546875" style="35" customWidth="1"/>
    <col min="3" max="3" width="51.5703125" style="35" customWidth="1"/>
    <col min="4" max="4" width="9.42578125" style="359" customWidth="1"/>
    <col min="5" max="5" width="15.140625" style="360" customWidth="1"/>
    <col min="6" max="16384" width="9" style="28"/>
  </cols>
  <sheetData>
    <row r="1" spans="1:5" ht="30" customHeight="1">
      <c r="A1" s="491" t="s">
        <v>627</v>
      </c>
      <c r="B1" s="364"/>
      <c r="C1" s="352"/>
      <c r="D1" s="352"/>
      <c r="E1" s="353"/>
    </row>
    <row r="2" spans="1:5" ht="18" customHeight="1">
      <c r="A2" s="3" t="str">
        <f>'Bia1'!D42&amp;'Bia1'!E42</f>
        <v>CÔNG TRÌNH: NHÀ BIỆT THỰ GXD</v>
      </c>
      <c r="B2" s="410"/>
      <c r="C2" s="352"/>
      <c r="D2" s="352"/>
      <c r="E2" s="353"/>
    </row>
    <row r="3" spans="1:5" ht="18" customHeight="1">
      <c r="A3" s="3" t="str">
        <f>'Bia1'!D43&amp;'Bia1'!E43</f>
        <v>HẠNG MỤC: ĐỔI BẢNG MÃ FONT RẤT ĐƠN GIẢN TRONG DỰ TOÁN GXD</v>
      </c>
      <c r="B3" s="410"/>
      <c r="C3" s="352"/>
      <c r="D3" s="352"/>
      <c r="E3" s="353"/>
    </row>
    <row r="4" spans="1:5">
      <c r="A4" s="28"/>
    </row>
    <row r="5" spans="1:5" ht="24.75" customHeight="1">
      <c r="A5" s="281" t="s">
        <v>660</v>
      </c>
      <c r="B5" s="372" t="s">
        <v>302</v>
      </c>
      <c r="C5" s="372" t="s">
        <v>330</v>
      </c>
      <c r="D5" s="372" t="s">
        <v>304</v>
      </c>
      <c r="E5" s="362" t="s">
        <v>328</v>
      </c>
    </row>
    <row r="6" spans="1:5">
      <c r="A6" s="872" t="s">
        <v>908</v>
      </c>
      <c r="B6" s="872" t="s">
        <v>911</v>
      </c>
      <c r="C6" s="872" t="s">
        <v>912</v>
      </c>
      <c r="D6" s="872" t="s">
        <v>913</v>
      </c>
      <c r="E6" s="872" t="s">
        <v>914</v>
      </c>
    </row>
  </sheetData>
  <phoneticPr fontId="87" type="noConversion"/>
  <dataValidations count="1">
    <dataValidation allowBlank="1" showInputMessage="1" showErrorMessage="1" sqref="B6"/>
  </dataValidations>
  <printOptions horizontalCentered="1"/>
  <pageMargins left="0.75" right="0.25" top="0.75" bottom="0.5" header="0.25" footer="0.25"/>
  <pageSetup paperSize="9" orientation="portrait" blackAndWhite="1" horizontalDpi="300" verticalDpi="300" r:id="rId1"/>
  <headerFooter>
    <oddHeader>&amp;L&amp;"+,nghiêng"&amp;10Dự toán GXD - www.giaxaydung.vn</oddHeader>
    <oddFooter>&amp;C&amp;P</oddFooter>
  </headerFooter>
  <ignoredErrors>
    <ignoredError sqref="A2:A3" unlockedFormula="1"/>
  </ignoredErrors>
</worksheet>
</file>

<file path=xl/worksheets/sheet23.xml><?xml version="1.0" encoding="utf-8"?>
<worksheet xmlns="http://schemas.openxmlformats.org/spreadsheetml/2006/main" xmlns:r="http://schemas.openxmlformats.org/officeDocument/2006/relationships">
  <sheetPr codeName="shGVTXD">
    <tabColor indexed="51"/>
  </sheetPr>
  <dimension ref="A1:I7"/>
  <sheetViews>
    <sheetView showZeros="0" zoomScale="115" zoomScaleNormal="115" workbookViewId="0">
      <selection activeCell="B7" sqref="B7"/>
    </sheetView>
  </sheetViews>
  <sheetFormatPr defaultColWidth="9" defaultRowHeight="15.75"/>
  <cols>
    <col min="1" max="1" width="4.140625" style="39" customWidth="1"/>
    <col min="2" max="2" width="8.5703125" style="508" customWidth="1"/>
    <col min="3" max="3" width="32.7109375" style="612" customWidth="1"/>
    <col min="4" max="4" width="7.85546875" style="359" customWidth="1"/>
    <col min="5" max="5" width="13.28515625" style="360" customWidth="1"/>
    <col min="6" max="7" width="12.7109375" style="367" customWidth="1"/>
    <col min="8" max="9" width="9" style="28" hidden="1" customWidth="1"/>
    <col min="10" max="10" width="9" style="28" customWidth="1"/>
    <col min="11" max="16384" width="9" style="28"/>
  </cols>
  <sheetData>
    <row r="1" spans="1:7" ht="27.95" customHeight="1">
      <c r="A1" s="2" t="s">
        <v>622</v>
      </c>
      <c r="B1" s="615"/>
      <c r="C1" s="352"/>
      <c r="D1" s="352"/>
      <c r="E1" s="353"/>
      <c r="F1" s="365"/>
      <c r="G1" s="365"/>
    </row>
    <row r="2" spans="1:7" ht="20.100000000000001" customHeight="1">
      <c r="A2" s="3" t="str">
        <f>Ts!B3&amp;Ts!B4</f>
        <v>CÔNG TRÌNH: NHÀ BIỆT THỰ GXD</v>
      </c>
      <c r="B2" s="615"/>
      <c r="C2" s="355"/>
      <c r="D2" s="355"/>
      <c r="E2" s="356"/>
      <c r="F2" s="366"/>
      <c r="G2" s="366"/>
    </row>
    <row r="3" spans="1:7" ht="20.100000000000001" customHeight="1">
      <c r="A3" s="3" t="str">
        <f>Ts!B5&amp;Ts!B6</f>
        <v>HẠNG MỤC: ĐỔI BẢNG MÃ FONT RẤT ĐƠN GIẢN TRONG DỰ TOÁN GXD</v>
      </c>
      <c r="B3" s="615"/>
      <c r="C3" s="355"/>
      <c r="D3" s="355"/>
      <c r="E3" s="356"/>
      <c r="F3" s="366"/>
      <c r="G3" s="366"/>
    </row>
    <row r="4" spans="1:7">
      <c r="A4" s="28"/>
      <c r="G4" s="280" t="s">
        <v>956</v>
      </c>
    </row>
    <row r="5" spans="1:7" ht="26.25" customHeight="1">
      <c r="A5" s="281" t="s">
        <v>660</v>
      </c>
      <c r="B5" s="371" t="s">
        <v>327</v>
      </c>
      <c r="C5" s="372" t="s">
        <v>330</v>
      </c>
      <c r="D5" s="372" t="s">
        <v>304</v>
      </c>
      <c r="E5" s="372" t="s">
        <v>328</v>
      </c>
      <c r="F5" s="363" t="s">
        <v>305</v>
      </c>
      <c r="G5" s="363" t="s">
        <v>306</v>
      </c>
    </row>
    <row r="6" spans="1:7">
      <c r="A6" s="1222" t="s">
        <v>908</v>
      </c>
      <c r="B6" s="1229" t="s">
        <v>911</v>
      </c>
      <c r="C6" s="1228" t="s">
        <v>912</v>
      </c>
      <c r="D6" s="1228" t="s">
        <v>913</v>
      </c>
      <c r="E6" s="1230" t="s">
        <v>914</v>
      </c>
      <c r="F6" s="1231" t="s">
        <v>915</v>
      </c>
      <c r="G6" s="1231" t="s">
        <v>944</v>
      </c>
    </row>
    <row r="7" spans="1:7">
      <c r="C7" s="824"/>
    </row>
  </sheetData>
  <phoneticPr fontId="87" type="noConversion"/>
  <dataValidations count="1">
    <dataValidation allowBlank="1" showInputMessage="1" showErrorMessage="1" sqref="B6"/>
  </dataValidations>
  <hyperlinks>
    <hyperlink ref="A1" location="'DGCT XD'!A1" tooltip="Về bảng đơn giá chi tiết" display="BẢNG GIÁ TRỊ VẬT TƯ THI CÔNG XÂY DỰNG"/>
  </hyperlinks>
  <printOptions horizontalCentered="1"/>
  <pageMargins left="0.75" right="0.25" top="0.75" bottom="0.5" header="0.25" footer="0.25"/>
  <pageSetup paperSize="9" orientation="portrait" blackAndWhite="1" horizontalDpi="300" verticalDpi="300" r:id="rId1"/>
  <headerFooter>
    <oddHeader>&amp;L&amp;"+,nghiêng"&amp;10Dự toán GXD - www.giaxaydung.vn</oddHeader>
    <oddFooter>&amp;C&amp;P</oddFooter>
  </headerFooter>
  <ignoredErrors>
    <ignoredError sqref="A2:A3" unlockedFormula="1"/>
  </ignoredErrors>
</worksheet>
</file>

<file path=xl/worksheets/sheet24.xml><?xml version="1.0" encoding="utf-8"?>
<worksheet xmlns="http://schemas.openxmlformats.org/spreadsheetml/2006/main" xmlns:r="http://schemas.openxmlformats.org/officeDocument/2006/relationships">
  <sheetPr codeName="shTDTCXD">
    <tabColor indexed="51"/>
  </sheetPr>
  <dimension ref="A1:J6"/>
  <sheetViews>
    <sheetView workbookViewId="0">
      <selection activeCell="A3" sqref="A3"/>
    </sheetView>
  </sheetViews>
  <sheetFormatPr defaultColWidth="9" defaultRowHeight="15"/>
  <cols>
    <col min="1" max="1" width="4.28515625" style="420" customWidth="1"/>
    <col min="2" max="2" width="9.7109375" style="421" customWidth="1"/>
    <col min="3" max="3" width="36.28515625" style="422" customWidth="1"/>
    <col min="4" max="4" width="7.85546875" style="418" customWidth="1"/>
    <col min="5" max="5" width="12.42578125" style="420" customWidth="1"/>
    <col min="6" max="10" width="9" style="420"/>
    <col min="11" max="16384" width="9" style="138"/>
  </cols>
  <sheetData>
    <row r="1" spans="1:10" ht="22.5">
      <c r="A1" s="492" t="s">
        <v>626</v>
      </c>
      <c r="B1" s="412"/>
      <c r="C1" s="413"/>
      <c r="D1" s="413"/>
      <c r="E1" s="414"/>
      <c r="F1" s="415"/>
      <c r="G1" s="415"/>
      <c r="H1" s="415"/>
      <c r="I1" s="415"/>
      <c r="J1" s="415"/>
    </row>
    <row r="2" spans="1:10" ht="15.75">
      <c r="A2" s="3" t="str">
        <f>Ts!B3&amp;Ts!B4</f>
        <v>CÔNG TRÌNH: NHÀ BIỆT THỰ GXD</v>
      </c>
      <c r="B2" s="416"/>
      <c r="C2" s="413"/>
      <c r="D2" s="413"/>
      <c r="E2" s="414"/>
      <c r="F2" s="415"/>
      <c r="G2" s="415"/>
      <c r="H2" s="415"/>
      <c r="I2" s="415"/>
      <c r="J2" s="415"/>
    </row>
    <row r="3" spans="1:10" ht="15.75">
      <c r="A3" s="3" t="str">
        <f>Ts!B5&amp;Ts!B6</f>
        <v>HẠNG MỤC: ĐỔI BẢNG MÃ FONT RẤT ĐƠN GIẢN TRONG DỰ TOÁN GXD</v>
      </c>
      <c r="B3" s="416"/>
      <c r="C3" s="413"/>
      <c r="D3" s="413"/>
      <c r="E3" s="414"/>
      <c r="F3" s="415"/>
      <c r="G3" s="415"/>
      <c r="H3" s="415"/>
      <c r="I3" s="415"/>
      <c r="J3" s="415"/>
    </row>
    <row r="4" spans="1:10" ht="15.75">
      <c r="A4" s="417"/>
      <c r="B4" s="416"/>
      <c r="C4" s="413"/>
      <c r="E4" s="414"/>
      <c r="F4" s="415"/>
      <c r="G4" s="415"/>
      <c r="H4" s="415"/>
      <c r="I4" s="415"/>
      <c r="J4" s="415"/>
    </row>
    <row r="5" spans="1:10" ht="23.25" customHeight="1">
      <c r="A5" s="1365" t="s">
        <v>660</v>
      </c>
      <c r="B5" s="1367" t="s">
        <v>302</v>
      </c>
      <c r="C5" s="1369" t="s">
        <v>303</v>
      </c>
      <c r="D5" s="1369" t="s">
        <v>304</v>
      </c>
      <c r="E5" s="1362" t="s">
        <v>532</v>
      </c>
      <c r="F5" s="1364" t="s">
        <v>533</v>
      </c>
      <c r="G5" s="1364"/>
      <c r="H5" s="1364"/>
      <c r="I5" s="1364"/>
      <c r="J5" s="1364"/>
    </row>
    <row r="6" spans="1:10" ht="15" customHeight="1">
      <c r="A6" s="1366"/>
      <c r="B6" s="1368"/>
      <c r="C6" s="1370"/>
      <c r="D6" s="1370"/>
      <c r="E6" s="1363"/>
      <c r="F6" s="419" t="s">
        <v>534</v>
      </c>
      <c r="G6" s="419" t="s">
        <v>535</v>
      </c>
      <c r="H6" s="419" t="s">
        <v>536</v>
      </c>
      <c r="I6" s="419" t="s">
        <v>537</v>
      </c>
      <c r="J6" s="419" t="s">
        <v>538</v>
      </c>
    </row>
  </sheetData>
  <mergeCells count="6">
    <mergeCell ref="E5:E6"/>
    <mergeCell ref="F5:J5"/>
    <mergeCell ref="A5:A6"/>
    <mergeCell ref="B5:B6"/>
    <mergeCell ref="C5:C6"/>
    <mergeCell ref="D5:D6"/>
  </mergeCells>
  <phoneticPr fontId="87" type="noConversion"/>
  <printOptions horizontalCentered="1"/>
  <pageMargins left="0.75" right="0.25" top="0.5" bottom="0.5" header="0.25" footer="0.25"/>
  <pageSetup paperSize="9" orientation="landscape" horizontalDpi="300" verticalDpi="300" r:id="rId1"/>
  <headerFooter>
    <oddHeader>&amp;L&amp;"+,nghiêng"&amp;10Dự toán GXD - www.giaxaydung.vn</oddHeader>
    <oddFooter>&amp;C&amp;P</oddFooter>
  </headerFooter>
  <ignoredErrors>
    <ignoredError sqref="A2:A3" unlockedFormula="1"/>
  </ignoredErrors>
</worksheet>
</file>

<file path=xl/worksheets/sheet25.xml><?xml version="1.0" encoding="utf-8"?>
<worksheet xmlns="http://schemas.openxmlformats.org/spreadsheetml/2006/main" xmlns:r="http://schemas.openxmlformats.org/officeDocument/2006/relationships">
  <sheetPr codeName="Sheet10">
    <tabColor rgb="FFFF0000"/>
  </sheetPr>
  <dimension ref="A1:K52"/>
  <sheetViews>
    <sheetView showZeros="0" zoomScaleSheetLayoutView="100" workbookViewId="0">
      <selection activeCell="E8" sqref="E8"/>
    </sheetView>
  </sheetViews>
  <sheetFormatPr defaultColWidth="9" defaultRowHeight="15"/>
  <cols>
    <col min="1" max="1" width="4.85546875" customWidth="1"/>
    <col min="2" max="2" width="43.140625" customWidth="1"/>
    <col min="3" max="3" width="9.28515625" customWidth="1"/>
    <col min="4" max="4" width="24.42578125" customWidth="1"/>
    <col min="5" max="5" width="19.28515625" customWidth="1"/>
    <col min="6" max="6" width="14.5703125" customWidth="1"/>
    <col min="7" max="7" width="18.28515625" customWidth="1"/>
    <col min="8" max="8" width="2.28515625" style="102" customWidth="1"/>
    <col min="9" max="9" width="14.42578125" style="102" customWidth="1"/>
    <col min="10" max="10" width="11.7109375" style="102" customWidth="1"/>
    <col min="11" max="11" width="10.42578125" style="102" customWidth="1"/>
    <col min="12" max="16384" width="9" style="102"/>
  </cols>
  <sheetData>
    <row r="1" spans="1:8" ht="30" customHeight="1">
      <c r="A1" s="2" t="s">
        <v>73</v>
      </c>
      <c r="B1" s="99"/>
      <c r="C1" s="99"/>
      <c r="D1" s="99"/>
      <c r="E1" s="100"/>
      <c r="F1" s="100"/>
      <c r="G1" s="100"/>
    </row>
    <row r="2" spans="1:8" ht="20.100000000000001" customHeight="1">
      <c r="A2" s="3" t="str">
        <f>'Bia1'!D42&amp;'Bia1'!E42</f>
        <v>CÔNG TRÌNH: NHÀ BIỆT THỰ GXD</v>
      </c>
      <c r="B2" s="139"/>
      <c r="C2" s="139"/>
      <c r="D2" s="139"/>
      <c r="E2" s="140"/>
      <c r="F2" s="140"/>
      <c r="G2" s="140"/>
    </row>
    <row r="3" spans="1:8" ht="20.100000000000001" customHeight="1">
      <c r="A3" s="3" t="str">
        <f>'Bia1'!D43&amp;'Bia1'!E43</f>
        <v>HẠNG MỤC: ĐỔI BẢNG MÃ FONT RẤT ĐƠN GIẢN TRONG DỰ TOÁN GXD</v>
      </c>
      <c r="B3" s="139"/>
      <c r="C3" s="139"/>
      <c r="D3" s="139"/>
      <c r="E3" s="140"/>
      <c r="F3" s="140"/>
      <c r="G3" s="140"/>
    </row>
    <row r="4" spans="1:8" ht="15.75">
      <c r="A4" s="106"/>
      <c r="B4" s="106"/>
      <c r="C4" s="106"/>
      <c r="D4" s="107"/>
      <c r="E4" s="107"/>
      <c r="F4" s="141"/>
      <c r="G4" s="108" t="s">
        <v>956</v>
      </c>
    </row>
    <row r="5" spans="1:8" ht="20.100000000000001" customHeight="1">
      <c r="A5" s="428" t="s">
        <v>660</v>
      </c>
      <c r="B5" s="109" t="s">
        <v>55</v>
      </c>
      <c r="C5" s="109" t="s">
        <v>56</v>
      </c>
      <c r="D5" s="109" t="s">
        <v>57</v>
      </c>
      <c r="E5" s="109" t="s">
        <v>58</v>
      </c>
      <c r="F5" s="109" t="s">
        <v>59</v>
      </c>
      <c r="G5" s="109" t="s">
        <v>60</v>
      </c>
      <c r="H5" s="110"/>
    </row>
    <row r="6" spans="1:8" ht="15.75">
      <c r="A6" s="114"/>
      <c r="B6" s="115"/>
      <c r="C6" s="142"/>
      <c r="D6" s="114"/>
      <c r="E6" s="118"/>
      <c r="F6" s="118"/>
      <c r="G6" s="118"/>
      <c r="H6" s="143"/>
    </row>
    <row r="7" spans="1:8" ht="31.5">
      <c r="A7" s="583">
        <f>IF(B7&lt;&gt;"",COUNTA($B$7:B7)-COUNTIF($B$7:B7,""),"")</f>
        <v>1</v>
      </c>
      <c r="B7" s="120" t="s">
        <v>74</v>
      </c>
      <c r="C7" s="144"/>
      <c r="D7" s="145" t="s">
        <v>75</v>
      </c>
      <c r="E7" s="118"/>
      <c r="F7" s="122">
        <f>E7*10%</f>
        <v>0</v>
      </c>
      <c r="G7" s="122">
        <f>E7+F7</f>
        <v>0</v>
      </c>
      <c r="H7" s="143"/>
    </row>
    <row r="8" spans="1:8" ht="18.75">
      <c r="A8" s="583">
        <f>IF(B8&lt;&gt;"",COUNTA($B$7:B8)-COUNTIF($B$7:B8,""),"")</f>
        <v>2</v>
      </c>
      <c r="B8" s="120" t="str">
        <f>'QD957'!C14</f>
        <v>Chi phí lập báo cáo KTKT</v>
      </c>
      <c r="C8" s="146">
        <f ca="1">'QD957'!H14/100</f>
        <v>3.6000000000000004E-2</v>
      </c>
      <c r="D8" s="117" t="s">
        <v>594</v>
      </c>
      <c r="E8" s="122">
        <f ca="1">C8*('Tong hop kinh phi'!E7+'Tong hop kinh phi'!E10)</f>
        <v>3587107.7160848775</v>
      </c>
      <c r="F8" s="122">
        <f ca="1">E8*10%</f>
        <v>358710.77160848776</v>
      </c>
      <c r="G8" s="122">
        <f ca="1">E8+F8</f>
        <v>3945818.4876933652</v>
      </c>
      <c r="H8" s="113"/>
    </row>
    <row r="9" spans="1:8" ht="15.75">
      <c r="A9" s="583">
        <f>IF(B9&lt;&gt;"",COUNTA($B$7:B9)-COUNTIF($B$7:B9,""),"")</f>
        <v>3</v>
      </c>
      <c r="B9" s="120" t="s">
        <v>76</v>
      </c>
      <c r="C9" s="146"/>
      <c r="D9" s="117" t="s">
        <v>77</v>
      </c>
      <c r="E9" s="122"/>
      <c r="F9" s="122">
        <f t="shared" ref="F9:F42" si="0">E9*10%</f>
        <v>0</v>
      </c>
      <c r="G9" s="122">
        <f t="shared" ref="G9:G42" si="1">E9+F9</f>
        <v>0</v>
      </c>
      <c r="H9" s="113"/>
    </row>
    <row r="10" spans="1:8" ht="15.75">
      <c r="A10" s="583">
        <f>IF(B10&lt;&gt;"",COUNTA($B$7:B10)-COUNTIF($B$7:B10,""),"")</f>
        <v>4</v>
      </c>
      <c r="B10" s="120" t="s">
        <v>78</v>
      </c>
      <c r="C10" s="144"/>
      <c r="D10" s="145" t="s">
        <v>79</v>
      </c>
      <c r="E10" s="122"/>
      <c r="F10" s="122">
        <f t="shared" si="0"/>
        <v>0</v>
      </c>
      <c r="G10" s="122">
        <f t="shared" si="1"/>
        <v>0</v>
      </c>
      <c r="H10" s="113"/>
    </row>
    <row r="11" spans="1:8" ht="15.75">
      <c r="A11" s="583">
        <f>IF(B11&lt;&gt;"",COUNTA($B$7:B11)-COUNTIF($B$7:B11,""),"")</f>
        <v>5</v>
      </c>
      <c r="B11" s="120" t="s">
        <v>80</v>
      </c>
      <c r="C11" s="144"/>
      <c r="D11" s="145" t="s">
        <v>79</v>
      </c>
      <c r="E11" s="122"/>
      <c r="F11" s="122">
        <f t="shared" si="0"/>
        <v>0</v>
      </c>
      <c r="G11" s="122">
        <f t="shared" si="1"/>
        <v>0</v>
      </c>
      <c r="H11" s="113"/>
    </row>
    <row r="12" spans="1:8" ht="15.75">
      <c r="A12" s="583">
        <f>IF(B12&lt;&gt;"",COUNTA($B$7:B12)-COUNTIF($B$7:B12,""),"")</f>
        <v>6</v>
      </c>
      <c r="B12" s="120" t="s">
        <v>81</v>
      </c>
      <c r="C12" s="144"/>
      <c r="D12" s="145" t="s">
        <v>79</v>
      </c>
      <c r="E12" s="122"/>
      <c r="F12" s="122">
        <f t="shared" si="0"/>
        <v>0</v>
      </c>
      <c r="G12" s="122">
        <f t="shared" si="1"/>
        <v>0</v>
      </c>
      <c r="H12" s="113"/>
    </row>
    <row r="13" spans="1:8" ht="19.5" customHeight="1">
      <c r="A13" s="583">
        <f>IF(B13&lt;&gt;"",COUNTA($B$7:B13)-COUNTIF($B$7:B13,""),"")</f>
        <v>7</v>
      </c>
      <c r="B13" s="120" t="s">
        <v>82</v>
      </c>
      <c r="C13" s="144"/>
      <c r="D13" s="145" t="s">
        <v>79</v>
      </c>
      <c r="E13" s="122"/>
      <c r="F13" s="122">
        <f t="shared" si="0"/>
        <v>0</v>
      </c>
      <c r="G13" s="122">
        <f t="shared" si="1"/>
        <v>0</v>
      </c>
      <c r="H13" s="113"/>
    </row>
    <row r="14" spans="1:8" ht="18.75">
      <c r="A14" s="583" t="str">
        <f>IF(B14&lt;&gt;"",COUNTA($B$7:B14)-COUNTIF($B$7:B14,""),"")</f>
        <v/>
      </c>
      <c r="B14" s="120" t="str">
        <f>'QD957'!C16</f>
        <v/>
      </c>
      <c r="C14" s="146">
        <f>'QD957'!H16/100</f>
        <v>0</v>
      </c>
      <c r="D14" s="117" t="s">
        <v>585</v>
      </c>
      <c r="E14" s="122">
        <f>C14*'Tong hop kinh phi'!E7</f>
        <v>0</v>
      </c>
      <c r="F14" s="122">
        <f>E14*10%</f>
        <v>0</v>
      </c>
      <c r="G14" s="122">
        <f>E14+F14</f>
        <v>0</v>
      </c>
      <c r="H14" s="113"/>
    </row>
    <row r="15" spans="1:8" ht="15.75">
      <c r="A15" s="583" t="str">
        <f>IF(B15&lt;&gt;"",COUNTA($B$7:B15)-COUNTIF($B$7:B15,""),"")</f>
        <v/>
      </c>
      <c r="B15" s="120" t="str">
        <f>'QD957'!C17</f>
        <v/>
      </c>
      <c r="C15" s="146">
        <f>'QD957'!H17/100</f>
        <v>0</v>
      </c>
      <c r="D15" s="117" t="str">
        <f>IF(C15&lt;&gt;0,IF(LCT=2,"60%*TKKT","55%*TKKT"),"")</f>
        <v/>
      </c>
      <c r="E15" s="122">
        <f>C15*'Tong hop kinh phi'!E7</f>
        <v>0</v>
      </c>
      <c r="F15" s="122">
        <f>E15*10%</f>
        <v>0</v>
      </c>
      <c r="G15" s="122">
        <f>E15+F15</f>
        <v>0</v>
      </c>
      <c r="H15" s="113"/>
    </row>
    <row r="16" spans="1:8" s="88" customFormat="1" ht="31.5">
      <c r="A16" s="583">
        <f>IF(B16&lt;&gt;"",COUNTA($B$7:B16)-COUNTIF($B$7:B16,""),"")</f>
        <v>8</v>
      </c>
      <c r="B16" s="120" t="s">
        <v>83</v>
      </c>
      <c r="C16" s="146"/>
      <c r="D16" s="145" t="s">
        <v>79</v>
      </c>
      <c r="E16" s="122"/>
      <c r="F16" s="122">
        <f t="shared" si="0"/>
        <v>0</v>
      </c>
      <c r="G16" s="122">
        <f t="shared" si="1"/>
        <v>0</v>
      </c>
      <c r="H16" s="113"/>
    </row>
    <row r="17" spans="1:8" ht="31.5">
      <c r="A17" s="583">
        <f>IF(B17&lt;&gt;"",COUNTA($B$7:B17)-COUNTIF($B$7:B17,""),"")</f>
        <v>9</v>
      </c>
      <c r="B17" s="120" t="s">
        <v>84</v>
      </c>
      <c r="C17" s="146">
        <f ca="1">'QD957'!H15/100</f>
        <v>0</v>
      </c>
      <c r="D17" s="117" t="s">
        <v>594</v>
      </c>
      <c r="E17" s="122">
        <f ca="1">C17*('Tong hop kinh phi'!E7+'Tong hop kinh phi'!E10)</f>
        <v>0</v>
      </c>
      <c r="F17" s="122">
        <f ca="1">E17*10%</f>
        <v>0</v>
      </c>
      <c r="G17" s="122">
        <f ca="1">E17+F17</f>
        <v>0</v>
      </c>
      <c r="H17" s="143"/>
    </row>
    <row r="18" spans="1:8" ht="31.5">
      <c r="A18" s="583">
        <f>IF(B18&lt;&gt;"",COUNTA($B$7:B18)-COUNTIF($B$7:B18,""),"")</f>
        <v>10</v>
      </c>
      <c r="B18" s="120" t="s">
        <v>85</v>
      </c>
      <c r="C18" s="146">
        <f ca="1">'QD957'!H18/100</f>
        <v>2.0599999999999998E-3</v>
      </c>
      <c r="D18" s="117" t="s">
        <v>585</v>
      </c>
      <c r="E18" s="122">
        <f ca="1">C18*'Tong hop kinh phi'!E7</f>
        <v>205262.27486485682</v>
      </c>
      <c r="F18" s="122">
        <f ca="1">E18*10%</f>
        <v>20526.227486485684</v>
      </c>
      <c r="G18" s="122">
        <f ca="1">E18+F18</f>
        <v>225788.5023513425</v>
      </c>
      <c r="H18" s="124"/>
    </row>
    <row r="19" spans="1:8" ht="15.75">
      <c r="A19" s="583">
        <f>IF(B19&lt;&gt;"",COUNTA($B$7:B19)-COUNTIF($B$7:B19,""),"")</f>
        <v>11</v>
      </c>
      <c r="B19" s="120" t="s">
        <v>86</v>
      </c>
      <c r="C19" s="144"/>
      <c r="D19" s="145" t="s">
        <v>79</v>
      </c>
      <c r="E19" s="122"/>
      <c r="F19" s="122">
        <f t="shared" si="0"/>
        <v>0</v>
      </c>
      <c r="G19" s="122">
        <f t="shared" si="1"/>
        <v>0</v>
      </c>
      <c r="H19" s="143"/>
    </row>
    <row r="20" spans="1:8" ht="30" customHeight="1">
      <c r="A20" s="583">
        <f>IF(B20&lt;&gt;"",COUNTA($B$7:B20)-COUNTIF($B$7:B20,""),"")</f>
        <v>12</v>
      </c>
      <c r="B20" s="120" t="s">
        <v>87</v>
      </c>
      <c r="C20" s="146">
        <f ca="1">'QD957'!H19/100</f>
        <v>2E-3</v>
      </c>
      <c r="D20" s="117" t="s">
        <v>585</v>
      </c>
      <c r="E20" s="122">
        <f ca="1">C20*'Tong hop kinh phi'!E7</f>
        <v>199283.76200471539</v>
      </c>
      <c r="F20" s="122">
        <f ca="1">E20*10%</f>
        <v>19928.376200471539</v>
      </c>
      <c r="G20" s="122">
        <f ca="1">E20+F20</f>
        <v>219212.13820518693</v>
      </c>
      <c r="H20" s="124"/>
    </row>
    <row r="21" spans="1:8" s="88" customFormat="1" ht="21.75" customHeight="1">
      <c r="A21" s="583">
        <f>IF(B21&lt;&gt;"",COUNTA($B$7:B21)-COUNTIF($B$7:B21,""),"")</f>
        <v>13</v>
      </c>
      <c r="B21" s="120" t="s">
        <v>88</v>
      </c>
      <c r="C21" s="146"/>
      <c r="D21" s="117" t="s">
        <v>89</v>
      </c>
      <c r="E21" s="122"/>
      <c r="F21" s="122">
        <f t="shared" si="0"/>
        <v>0</v>
      </c>
      <c r="G21" s="122">
        <f t="shared" si="1"/>
        <v>0</v>
      </c>
      <c r="H21" s="124"/>
    </row>
    <row r="22" spans="1:8" ht="31.5">
      <c r="A22" s="583">
        <f>IF(B22&lt;&gt;"",COUNTA($B$7:B22)-COUNTIF($B$7:B22,""),"")</f>
        <v>14</v>
      </c>
      <c r="B22" s="120" t="s">
        <v>90</v>
      </c>
      <c r="C22" s="146">
        <f ca="1">'QD957'!H20/100</f>
        <v>3.3700000000000002E-3</v>
      </c>
      <c r="D22" s="117" t="s">
        <v>585</v>
      </c>
      <c r="E22" s="122">
        <f ca="1">C22*'Tong hop kinh phi'!E7</f>
        <v>335793.13897794543</v>
      </c>
      <c r="F22" s="122">
        <f t="shared" ca="1" si="0"/>
        <v>33579.313897794542</v>
      </c>
      <c r="G22" s="122">
        <f t="shared" ca="1" si="1"/>
        <v>369372.45287573995</v>
      </c>
      <c r="H22" s="124"/>
    </row>
    <row r="23" spans="1:8" ht="31.5">
      <c r="A23" s="583">
        <f>IF(B23&lt;&gt;"",COUNTA($B$7:B23)-COUNTIF($B$7:B23,""),"")</f>
        <v>15</v>
      </c>
      <c r="B23" s="120" t="s">
        <v>91</v>
      </c>
      <c r="C23" s="146">
        <f>'QD957'!H21/100</f>
        <v>0</v>
      </c>
      <c r="D23" s="117" t="s">
        <v>586</v>
      </c>
      <c r="E23" s="122">
        <f>C23*'Tong hop kinh phi'!E10</f>
        <v>0</v>
      </c>
      <c r="F23" s="122">
        <f t="shared" si="0"/>
        <v>0</v>
      </c>
      <c r="G23" s="122">
        <f t="shared" si="1"/>
        <v>0</v>
      </c>
      <c r="H23" s="124"/>
    </row>
    <row r="24" spans="1:8" s="88" customFormat="1" ht="15.75">
      <c r="A24" s="583">
        <f>IF(B24&lt;&gt;"",COUNTA($B$7:B24)-COUNTIF($B$7:B24,""),"")</f>
        <v>16</v>
      </c>
      <c r="B24" s="120" t="s">
        <v>92</v>
      </c>
      <c r="C24" s="146"/>
      <c r="D24" s="147" t="s">
        <v>9</v>
      </c>
      <c r="E24" s="122">
        <v>0</v>
      </c>
      <c r="F24" s="122">
        <f t="shared" si="0"/>
        <v>0</v>
      </c>
      <c r="G24" s="122">
        <f t="shared" si="1"/>
        <v>0</v>
      </c>
      <c r="H24" s="124"/>
    </row>
    <row r="25" spans="1:8" s="88" customFormat="1" ht="18.75">
      <c r="A25" s="583">
        <f>IF(B25&lt;&gt;"",COUNTA($B$7:B25)-COUNTIF($B$7:B25,""),"")</f>
        <v>17</v>
      </c>
      <c r="B25" s="827" t="s">
        <v>888</v>
      </c>
      <c r="C25" s="828">
        <v>1E-4</v>
      </c>
      <c r="D25" s="829" t="s">
        <v>585</v>
      </c>
      <c r="E25" s="830">
        <f>IF('Tong hop kinh phi'!E7=0,0,IF(C25*'Tong hop kinh phi'!E7&lt;1000000,1000000,MIN(50000000,C25*'Tong hop kinh phi'!E7)))</f>
        <v>1000000</v>
      </c>
      <c r="F25" s="830">
        <f t="shared" si="0"/>
        <v>100000</v>
      </c>
      <c r="G25" s="830">
        <f t="shared" si="1"/>
        <v>1100000</v>
      </c>
      <c r="H25" s="124"/>
    </row>
    <row r="26" spans="1:8" s="88" customFormat="1" ht="15.75">
      <c r="A26" s="583">
        <f>IF(B26&lt;&gt;"",COUNTA($B$7:B26)-COUNTIF($B$7:B26,""),"")</f>
        <v>18</v>
      </c>
      <c r="B26" s="827" t="s">
        <v>93</v>
      </c>
      <c r="C26" s="831"/>
      <c r="D26" s="832" t="s">
        <v>9</v>
      </c>
      <c r="E26" s="830">
        <v>0</v>
      </c>
      <c r="F26" s="830">
        <f t="shared" si="0"/>
        <v>0</v>
      </c>
      <c r="G26" s="830">
        <f t="shared" si="1"/>
        <v>0</v>
      </c>
      <c r="H26" s="124"/>
    </row>
    <row r="27" spans="1:8" s="88" customFormat="1" ht="18.75">
      <c r="A27" s="583">
        <f>IF(B27&lt;&gt;"",COUNTA($B$7:B27)-COUNTIF($B$7:B27,""),"")</f>
        <v>19</v>
      </c>
      <c r="B27" s="827" t="s">
        <v>889</v>
      </c>
      <c r="C27" s="828">
        <v>1E-4</v>
      </c>
      <c r="D27" s="829" t="s">
        <v>586</v>
      </c>
      <c r="E27" s="830">
        <f>IF('Tong hop kinh phi'!E10=0,0,IF(C27*'Tong hop kinh phi'!E10&lt;1000000,1000000,MIN(50000000,C27*'Tong hop kinh phi'!E10)))</f>
        <v>0</v>
      </c>
      <c r="F27" s="830">
        <f t="shared" si="0"/>
        <v>0</v>
      </c>
      <c r="G27" s="830">
        <f t="shared" si="1"/>
        <v>0</v>
      </c>
      <c r="H27" s="124"/>
    </row>
    <row r="28" spans="1:8" ht="18.75">
      <c r="A28" s="583">
        <f>IF(B28&lt;&gt;"",COUNTA($B$7:B28)-COUNTIF($B$7:B28,""),"")</f>
        <v>20</v>
      </c>
      <c r="B28" s="120" t="s">
        <v>94</v>
      </c>
      <c r="C28" s="146">
        <f ca="1">'QD957'!H22/100</f>
        <v>2.6280000000000001E-2</v>
      </c>
      <c r="D28" s="117" t="s">
        <v>585</v>
      </c>
      <c r="E28" s="122">
        <f ca="1">C28*'Tong hop kinh phi'!E7</f>
        <v>2618588.6327419602</v>
      </c>
      <c r="F28" s="122">
        <f t="shared" ca="1" si="0"/>
        <v>261858.86327419605</v>
      </c>
      <c r="G28" s="122">
        <f t="shared" ca="1" si="1"/>
        <v>2880447.4960161564</v>
      </c>
      <c r="H28" s="124"/>
    </row>
    <row r="29" spans="1:8" ht="18.75">
      <c r="A29" s="583">
        <f>IF(B29&lt;&gt;"",COUNTA($B$7:B29)-COUNTIF($B$7:B29,""),"")</f>
        <v>21</v>
      </c>
      <c r="B29" s="120" t="s">
        <v>95</v>
      </c>
      <c r="C29" s="146">
        <f>'QD957'!H23/100</f>
        <v>0</v>
      </c>
      <c r="D29" s="117" t="s">
        <v>586</v>
      </c>
      <c r="E29" s="122">
        <f>C29*'Tong hop kinh phi'!E10</f>
        <v>0</v>
      </c>
      <c r="F29" s="122">
        <f t="shared" si="0"/>
        <v>0</v>
      </c>
      <c r="G29" s="122">
        <f t="shared" si="1"/>
        <v>0</v>
      </c>
      <c r="H29" s="124"/>
    </row>
    <row r="30" spans="1:8" ht="31.5">
      <c r="A30" s="583">
        <f>IF(B30&lt;&gt;"",COUNTA($B$7:B30)-COUNTIF($B$7:B30,""),"")</f>
        <v>22</v>
      </c>
      <c r="B30" s="120" t="s">
        <v>96</v>
      </c>
      <c r="C30" s="144"/>
      <c r="D30" s="145" t="s">
        <v>79</v>
      </c>
      <c r="E30" s="122"/>
      <c r="F30" s="122">
        <f t="shared" si="0"/>
        <v>0</v>
      </c>
      <c r="G30" s="122">
        <f t="shared" si="1"/>
        <v>0</v>
      </c>
      <c r="H30" s="113"/>
    </row>
    <row r="31" spans="1:8" ht="30.75" customHeight="1">
      <c r="A31" s="583">
        <f>IF(B31&lt;&gt;"",COUNTA($B$7:B31)-COUNTIF($B$7:B31,""),"")</f>
        <v>23</v>
      </c>
      <c r="B31" s="120" t="s">
        <v>97</v>
      </c>
      <c r="C31" s="144"/>
      <c r="D31" s="145" t="s">
        <v>79</v>
      </c>
      <c r="E31" s="122"/>
      <c r="F31" s="122">
        <f t="shared" si="0"/>
        <v>0</v>
      </c>
      <c r="G31" s="122">
        <f t="shared" si="1"/>
        <v>0</v>
      </c>
      <c r="H31" s="113"/>
    </row>
    <row r="32" spans="1:8" ht="15.75">
      <c r="A32" s="583">
        <f>IF(B32&lt;&gt;"",COUNTA($B$7:B32)-COUNTIF($B$7:B32,""),"")</f>
        <v>24</v>
      </c>
      <c r="B32" s="120" t="s">
        <v>98</v>
      </c>
      <c r="C32" s="144"/>
      <c r="D32" s="145" t="s">
        <v>79</v>
      </c>
      <c r="E32" s="122"/>
      <c r="F32" s="122">
        <f t="shared" si="0"/>
        <v>0</v>
      </c>
      <c r="G32" s="122">
        <f t="shared" si="1"/>
        <v>0</v>
      </c>
      <c r="H32" s="113"/>
    </row>
    <row r="33" spans="1:11" ht="63">
      <c r="A33" s="583">
        <f>IF(B33&lt;&gt;"",COUNTA($B$7:B33)-COUNTIF($B$7:B33,""),"")</f>
        <v>25</v>
      </c>
      <c r="B33" s="120" t="s">
        <v>99</v>
      </c>
      <c r="C33" s="144"/>
      <c r="D33" s="145" t="s">
        <v>79</v>
      </c>
      <c r="E33" s="122"/>
      <c r="F33" s="122">
        <f t="shared" si="0"/>
        <v>0</v>
      </c>
      <c r="G33" s="122">
        <f t="shared" si="1"/>
        <v>0</v>
      </c>
      <c r="H33" s="113"/>
    </row>
    <row r="34" spans="1:11" ht="31.5">
      <c r="A34" s="583">
        <f>IF(B34&lt;&gt;"",COUNTA($B$7:B34)-COUNTIF($B$7:B34,""),"")</f>
        <v>26</v>
      </c>
      <c r="B34" s="120" t="s">
        <v>100</v>
      </c>
      <c r="C34" s="144"/>
      <c r="D34" s="145" t="s">
        <v>79</v>
      </c>
      <c r="E34" s="122"/>
      <c r="F34" s="122">
        <f t="shared" si="0"/>
        <v>0</v>
      </c>
      <c r="G34" s="122">
        <f t="shared" si="1"/>
        <v>0</v>
      </c>
      <c r="H34" s="113"/>
    </row>
    <row r="35" spans="1:11" ht="15.75">
      <c r="A35" s="583">
        <f>IF(B35&lt;&gt;"",COUNTA($B$7:B35)-COUNTIF($B$7:B35,""),"")</f>
        <v>27</v>
      </c>
      <c r="B35" s="120" t="s">
        <v>101</v>
      </c>
      <c r="C35" s="144"/>
      <c r="D35" s="145" t="s">
        <v>79</v>
      </c>
      <c r="E35" s="122"/>
      <c r="F35" s="122">
        <f t="shared" si="0"/>
        <v>0</v>
      </c>
      <c r="G35" s="122">
        <f t="shared" si="1"/>
        <v>0</v>
      </c>
      <c r="H35" s="113"/>
    </row>
    <row r="36" spans="1:11" ht="47.25">
      <c r="A36" s="583">
        <f>IF(B36&lt;&gt;"",COUNTA($B$7:B36)-COUNTIF($B$7:B36,""),"")</f>
        <v>28</v>
      </c>
      <c r="B36" s="120" t="s">
        <v>102</v>
      </c>
      <c r="C36" s="144"/>
      <c r="D36" s="145" t="s">
        <v>79</v>
      </c>
      <c r="E36" s="122"/>
      <c r="F36" s="122">
        <f t="shared" si="0"/>
        <v>0</v>
      </c>
      <c r="G36" s="122">
        <f t="shared" si="1"/>
        <v>0</v>
      </c>
      <c r="H36" s="113"/>
    </row>
    <row r="37" spans="1:11" ht="15.75">
      <c r="A37" s="583">
        <f>IF(B37&lt;&gt;"",COUNTA($B$7:B37)-COUNTIF($B$7:B37,""),"")</f>
        <v>29</v>
      </c>
      <c r="B37" s="120" t="s">
        <v>103</v>
      </c>
      <c r="C37" s="144"/>
      <c r="D37" s="145" t="s">
        <v>79</v>
      </c>
      <c r="E37" s="122">
        <v>0</v>
      </c>
      <c r="F37" s="122">
        <f t="shared" si="0"/>
        <v>0</v>
      </c>
      <c r="G37" s="122">
        <f t="shared" si="1"/>
        <v>0</v>
      </c>
      <c r="H37" s="113"/>
    </row>
    <row r="38" spans="1:11" ht="47.25">
      <c r="A38" s="583">
        <f>IF(B38&lt;&gt;"",COUNTA($B$7:B38)-COUNTIF($B$7:B38,""),"")</f>
        <v>30</v>
      </c>
      <c r="B38" s="120" t="s">
        <v>104</v>
      </c>
      <c r="C38" s="144"/>
      <c r="D38" s="145" t="s">
        <v>79</v>
      </c>
      <c r="E38" s="122">
        <v>0</v>
      </c>
      <c r="F38" s="122">
        <f t="shared" si="0"/>
        <v>0</v>
      </c>
      <c r="G38" s="122">
        <f t="shared" si="1"/>
        <v>0</v>
      </c>
      <c r="H38" s="113"/>
    </row>
    <row r="39" spans="1:11" ht="31.5">
      <c r="A39" s="583">
        <f>IF(B39&lt;&gt;"",COUNTA($B$7:B39)-COUNTIF($B$7:B39,""),"")</f>
        <v>31</v>
      </c>
      <c r="B39" s="120" t="s">
        <v>105</v>
      </c>
      <c r="C39" s="542" t="s">
        <v>724</v>
      </c>
      <c r="D39" s="145" t="s">
        <v>725</v>
      </c>
      <c r="E39" s="122">
        <f ca="1">20%*'Tong hop kinh phi'!E12</f>
        <v>502992.21529990155</v>
      </c>
      <c r="F39" s="122">
        <f t="shared" ca="1" si="0"/>
        <v>50299.221529990158</v>
      </c>
      <c r="G39" s="122">
        <f t="shared" ca="1" si="1"/>
        <v>553291.43682989175</v>
      </c>
      <c r="H39" s="113"/>
    </row>
    <row r="40" spans="1:11" ht="15.75">
      <c r="A40" s="583">
        <f>IF(B40&lt;&gt;"",COUNTA($B$7:B40)-COUNTIF($B$7:B40,""),"")</f>
        <v>32</v>
      </c>
      <c r="B40" s="120" t="s">
        <v>106</v>
      </c>
      <c r="C40" s="144"/>
      <c r="D40" s="145" t="s">
        <v>79</v>
      </c>
      <c r="E40" s="122"/>
      <c r="F40" s="122">
        <f t="shared" si="0"/>
        <v>0</v>
      </c>
      <c r="G40" s="122">
        <f t="shared" si="1"/>
        <v>0</v>
      </c>
      <c r="H40" s="113"/>
    </row>
    <row r="41" spans="1:11" ht="47.25">
      <c r="A41" s="583">
        <f>IF(B41&lt;&gt;"",COUNTA($B$7:B41)-COUNTIF($B$7:B41,""),"")</f>
        <v>33</v>
      </c>
      <c r="B41" s="120" t="s">
        <v>107</v>
      </c>
      <c r="C41" s="144"/>
      <c r="D41" s="145" t="s">
        <v>79</v>
      </c>
      <c r="E41" s="122"/>
      <c r="F41" s="122">
        <f t="shared" si="0"/>
        <v>0</v>
      </c>
      <c r="G41" s="122">
        <f t="shared" si="1"/>
        <v>0</v>
      </c>
      <c r="H41" s="113"/>
    </row>
    <row r="42" spans="1:11" ht="15.75">
      <c r="A42" s="583">
        <f>IF(B42&lt;&gt;"",COUNTA($B$7:B42)-COUNTIF($B$7:B42,""),"")</f>
        <v>34</v>
      </c>
      <c r="B42" s="120" t="s">
        <v>108</v>
      </c>
      <c r="C42" s="144"/>
      <c r="D42" s="145" t="s">
        <v>79</v>
      </c>
      <c r="E42" s="122"/>
      <c r="F42" s="122">
        <f t="shared" si="0"/>
        <v>0</v>
      </c>
      <c r="G42" s="122">
        <f t="shared" si="1"/>
        <v>0</v>
      </c>
      <c r="H42" s="113"/>
    </row>
    <row r="43" spans="1:11" ht="15.75">
      <c r="A43" s="114"/>
      <c r="B43" s="126" t="s">
        <v>68</v>
      </c>
      <c r="C43" s="126"/>
      <c r="D43" s="117"/>
      <c r="E43" s="118">
        <f ca="1">SUM(E7:E42)</f>
        <v>8449027.7399742566</v>
      </c>
      <c r="F43" s="118">
        <f ca="1">SUM(F7:F42)</f>
        <v>844902.77399742568</v>
      </c>
      <c r="G43" s="118">
        <f ca="1">SUM(G7:G42)</f>
        <v>9293930.5139716826</v>
      </c>
      <c r="H43" s="143"/>
    </row>
    <row r="44" spans="1:11" ht="15.75">
      <c r="A44" s="428"/>
      <c r="B44" s="129" t="s">
        <v>587</v>
      </c>
      <c r="C44" s="148"/>
      <c r="D44" s="128"/>
      <c r="E44" s="130">
        <f ca="1">ROUND(E43,-3)</f>
        <v>8449000</v>
      </c>
      <c r="F44" s="130">
        <f ca="1">ROUND(F43,-3)</f>
        <v>845000</v>
      </c>
      <c r="G44" s="130">
        <f ca="1">ROUND(G43,-3)</f>
        <v>9294000</v>
      </c>
      <c r="H44" s="143"/>
    </row>
    <row r="47" spans="1:11" ht="15.75">
      <c r="A47" s="153" t="s">
        <v>127</v>
      </c>
    </row>
    <row r="48" spans="1:11" customFormat="1" ht="15.75">
      <c r="A48" s="154" t="s">
        <v>1146</v>
      </c>
      <c r="H48" s="102"/>
      <c r="I48" s="102"/>
      <c r="J48" s="102"/>
      <c r="K48" s="102"/>
    </row>
    <row r="49" spans="1:11" customFormat="1" ht="15.75">
      <c r="A49" s="154" t="s">
        <v>1147</v>
      </c>
      <c r="H49" s="102"/>
      <c r="I49" s="102"/>
      <c r="J49" s="102"/>
      <c r="K49" s="102"/>
    </row>
    <row r="50" spans="1:11" customFormat="1" ht="15.75">
      <c r="A50" s="154" t="s">
        <v>899</v>
      </c>
      <c r="H50" s="102"/>
      <c r="I50" s="102"/>
      <c r="J50" s="102"/>
      <c r="K50" s="102"/>
    </row>
    <row r="51" spans="1:11" customFormat="1" ht="15.75">
      <c r="A51" s="155" t="s">
        <v>128</v>
      </c>
      <c r="H51" s="102"/>
      <c r="I51" s="102"/>
      <c r="J51" s="102"/>
      <c r="K51" s="102"/>
    </row>
    <row r="52" spans="1:11" customFormat="1" ht="15.75">
      <c r="A52" s="156" t="s">
        <v>129</v>
      </c>
      <c r="H52" s="102"/>
      <c r="I52" s="102"/>
      <c r="J52" s="102"/>
      <c r="K52" s="102"/>
    </row>
  </sheetData>
  <dataValidations count="2">
    <dataValidation allowBlank="1" showInputMessage="1" showErrorMessage="1" promptTitle="Điều 6 Nghị định 85/2009/NĐ-CP" prompt="Nếu thực hiện thẩm tra thì thôi thẩm định. Nếu đã tính chi phí tra ở đây thì xóa dòng 16 bảng CHI PHÍ KHÁC." sqref="C27"/>
    <dataValidation allowBlank="1" showInputMessage="1" showErrorMessage="1" promptTitle="Điều 6 Nghị định 85/2009/NĐ-CP" prompt="Nếu thực hiện thẩm định thì thôi thẩm tra. Nếu đã tính chi phí thẩm tra ở đây thì xóa bỏ chi phí thẩm định ở dòng 15 bảng CHI PHÍ KHÁC." sqref="C25"/>
  </dataValidations>
  <hyperlinks>
    <hyperlink ref="A2" location="'QD957'!A1" tooltip="Sang sheet nội suy định mức tỷ lệ" display="'QD957'!A1"/>
  </hyperlinks>
  <printOptions horizontalCentered="1"/>
  <pageMargins left="0.75" right="0.25" top="0.5" bottom="0.5" header="0.25" footer="0.25"/>
  <pageSetup paperSize="9" orientation="landscape" blackAndWhite="1" horizontalDpi="300" verticalDpi="300" r:id="rId1"/>
  <headerFooter>
    <oddHeader>&amp;L&amp;"+,nghiêng"&amp;10Dự toán GXD - www.giaxaydung.vn</oddHeader>
    <oddFooter>&amp;C&amp;P</oddFooter>
  </headerFooter>
</worksheet>
</file>

<file path=xl/worksheets/sheet26.xml><?xml version="1.0" encoding="utf-8"?>
<worksheet xmlns="http://schemas.openxmlformats.org/spreadsheetml/2006/main" xmlns:r="http://schemas.openxmlformats.org/officeDocument/2006/relationships">
  <sheetPr codeName="Sheet11">
    <tabColor rgb="FFFF0000"/>
  </sheetPr>
  <dimension ref="A1:K33"/>
  <sheetViews>
    <sheetView showZeros="0" zoomScaleSheetLayoutView="100" workbookViewId="0">
      <selection activeCell="F18" sqref="F18"/>
    </sheetView>
  </sheetViews>
  <sheetFormatPr defaultColWidth="9" defaultRowHeight="15"/>
  <cols>
    <col min="1" max="1" width="4.85546875" customWidth="1"/>
    <col min="2" max="2" width="43.140625" customWidth="1"/>
    <col min="3" max="3" width="9.28515625" customWidth="1"/>
    <col min="4" max="4" width="24.42578125" customWidth="1"/>
    <col min="5" max="5" width="19.28515625" customWidth="1"/>
    <col min="6" max="6" width="14.5703125" customWidth="1"/>
    <col min="7" max="7" width="18.28515625" customWidth="1"/>
    <col min="8" max="8" width="2.28515625" style="102" customWidth="1"/>
    <col min="9" max="9" width="14.42578125" style="102" customWidth="1"/>
    <col min="10" max="10" width="11.7109375" style="102" customWidth="1"/>
    <col min="11" max="11" width="10.42578125" style="102" customWidth="1"/>
    <col min="12" max="16384" width="9" style="102"/>
  </cols>
  <sheetData>
    <row r="1" spans="1:11" ht="22.5">
      <c r="A1" s="2" t="s">
        <v>109</v>
      </c>
      <c r="B1" s="149"/>
      <c r="C1" s="149"/>
      <c r="D1" s="149"/>
      <c r="E1" s="150"/>
      <c r="F1" s="150"/>
      <c r="G1" s="150"/>
    </row>
    <row r="2" spans="1:11" ht="20.100000000000001" customHeight="1">
      <c r="A2" s="3" t="str">
        <f>'Bia1'!D42&amp;'Bia1'!E42</f>
        <v>CÔNG TRÌNH: NHÀ BIỆT THỰ GXD</v>
      </c>
      <c r="B2" s="139"/>
      <c r="C2" s="139"/>
      <c r="D2" s="139"/>
      <c r="E2" s="140"/>
      <c r="F2" s="140"/>
      <c r="G2" s="140"/>
    </row>
    <row r="3" spans="1:11" ht="20.100000000000001" customHeight="1">
      <c r="A3" s="3" t="str">
        <f>'Bia1'!D43&amp;'Bia1'!E43</f>
        <v>HẠNG MỤC: ĐỔI BẢNG MÃ FONT RẤT ĐƠN GIẢN TRONG DỰ TOÁN GXD</v>
      </c>
      <c r="B3" s="139"/>
      <c r="C3" s="139"/>
      <c r="D3" s="139"/>
      <c r="E3" s="140"/>
      <c r="F3" s="140"/>
      <c r="G3" s="140"/>
    </row>
    <row r="4" spans="1:11" ht="15.75">
      <c r="A4" s="106"/>
      <c r="B4" s="106"/>
      <c r="C4" s="106"/>
      <c r="D4" s="107"/>
      <c r="E4" s="107"/>
      <c r="F4" s="141"/>
      <c r="G4" s="108" t="s">
        <v>956</v>
      </c>
      <c r="I4" s="584" t="s">
        <v>733</v>
      </c>
      <c r="J4" s="1371">
        <f>TMDT</f>
        <v>0</v>
      </c>
      <c r="K4" s="1372"/>
    </row>
    <row r="5" spans="1:11" ht="20.100000000000001" customHeight="1">
      <c r="A5" s="428" t="s">
        <v>660</v>
      </c>
      <c r="B5" s="109" t="s">
        <v>55</v>
      </c>
      <c r="C5" s="109" t="s">
        <v>56</v>
      </c>
      <c r="D5" s="109" t="s">
        <v>57</v>
      </c>
      <c r="E5" s="109" t="s">
        <v>58</v>
      </c>
      <c r="F5" s="109" t="s">
        <v>59</v>
      </c>
      <c r="G5" s="109" t="s">
        <v>60</v>
      </c>
      <c r="H5" s="110"/>
    </row>
    <row r="6" spans="1:11" ht="3.75" customHeight="1">
      <c r="A6" s="111"/>
      <c r="B6" s="151"/>
      <c r="C6" s="111"/>
      <c r="D6" s="111"/>
      <c r="E6" s="112"/>
      <c r="F6" s="112"/>
      <c r="G6" s="112"/>
      <c r="H6" s="152"/>
    </row>
    <row r="7" spans="1:11" ht="15.75">
      <c r="A7" s="117">
        <v>1</v>
      </c>
      <c r="B7" s="120" t="s">
        <v>110</v>
      </c>
      <c r="C7" s="144"/>
      <c r="D7" s="145" t="s">
        <v>79</v>
      </c>
      <c r="E7" s="122"/>
      <c r="F7" s="122">
        <f t="shared" ref="F7:F13" si="0">E7*10%</f>
        <v>0</v>
      </c>
      <c r="G7" s="122">
        <f>E7+F7</f>
        <v>0</v>
      </c>
      <c r="H7" s="143"/>
    </row>
    <row r="8" spans="1:11" ht="18.75">
      <c r="A8" s="117">
        <v>2</v>
      </c>
      <c r="B8" s="120" t="s">
        <v>111</v>
      </c>
      <c r="C8" s="144"/>
      <c r="D8" s="117" t="s">
        <v>594</v>
      </c>
      <c r="E8" s="122">
        <f>C8*('Tong hop kinh phi'!E7+'Tong hop kinh phi'!E10)</f>
        <v>0</v>
      </c>
      <c r="F8" s="122">
        <f t="shared" si="0"/>
        <v>0</v>
      </c>
      <c r="G8" s="122">
        <f>E8+F8</f>
        <v>0</v>
      </c>
      <c r="H8" s="113"/>
    </row>
    <row r="9" spans="1:11" s="88" customFormat="1" ht="15.75">
      <c r="A9" s="117">
        <v>3</v>
      </c>
      <c r="B9" s="120" t="s">
        <v>112</v>
      </c>
      <c r="C9" s="144"/>
      <c r="D9" s="145" t="s">
        <v>79</v>
      </c>
      <c r="E9" s="122"/>
      <c r="F9" s="122">
        <f t="shared" si="0"/>
        <v>0</v>
      </c>
      <c r="G9" s="122">
        <f t="shared" ref="G9:G23" si="1">E9+F9</f>
        <v>0</v>
      </c>
      <c r="H9" s="113"/>
    </row>
    <row r="10" spans="1:11" ht="31.5">
      <c r="A10" s="117">
        <v>4</v>
      </c>
      <c r="B10" s="120" t="s">
        <v>113</v>
      </c>
      <c r="C10" s="144"/>
      <c r="D10" s="145" t="s">
        <v>79</v>
      </c>
      <c r="E10" s="122"/>
      <c r="F10" s="122">
        <f t="shared" si="0"/>
        <v>0</v>
      </c>
      <c r="G10" s="122">
        <f t="shared" si="1"/>
        <v>0</v>
      </c>
      <c r="H10" s="113"/>
    </row>
    <row r="11" spans="1:11" ht="31.5">
      <c r="A11" s="117">
        <v>5</v>
      </c>
      <c r="B11" s="120" t="s">
        <v>114</v>
      </c>
      <c r="C11" s="144"/>
      <c r="D11" s="145" t="s">
        <v>79</v>
      </c>
      <c r="E11" s="122"/>
      <c r="F11" s="122">
        <f t="shared" si="0"/>
        <v>0</v>
      </c>
      <c r="G11" s="122">
        <f t="shared" si="1"/>
        <v>0</v>
      </c>
      <c r="H11" s="113"/>
    </row>
    <row r="12" spans="1:11" ht="31.5">
      <c r="A12" s="117">
        <v>6</v>
      </c>
      <c r="B12" s="120" t="s">
        <v>115</v>
      </c>
      <c r="C12" s="144"/>
      <c r="D12" s="145" t="s">
        <v>79</v>
      </c>
      <c r="E12" s="122"/>
      <c r="F12" s="122">
        <f t="shared" si="0"/>
        <v>0</v>
      </c>
      <c r="G12" s="122">
        <f t="shared" si="1"/>
        <v>0</v>
      </c>
      <c r="H12" s="113"/>
    </row>
    <row r="13" spans="1:11" ht="31.5">
      <c r="A13" s="117">
        <v>7</v>
      </c>
      <c r="B13" s="120" t="s">
        <v>116</v>
      </c>
      <c r="C13" s="144"/>
      <c r="D13" s="145" t="s">
        <v>79</v>
      </c>
      <c r="E13" s="122"/>
      <c r="F13" s="122">
        <f t="shared" si="0"/>
        <v>0</v>
      </c>
      <c r="G13" s="122">
        <f t="shared" si="1"/>
        <v>0</v>
      </c>
      <c r="H13" s="143"/>
    </row>
    <row r="14" spans="1:11" ht="15.75">
      <c r="A14" s="117">
        <v>8</v>
      </c>
      <c r="B14" s="120" t="s">
        <v>117</v>
      </c>
      <c r="C14" s="146">
        <f ca="1">'QD957'!H28/100</f>
        <v>6.4000000000000003E-3</v>
      </c>
      <c r="D14" s="117" t="s">
        <v>118</v>
      </c>
      <c r="E14" s="122">
        <f ca="1">C14*$J$4</f>
        <v>0</v>
      </c>
      <c r="F14" s="122">
        <f ca="1">E14*10%</f>
        <v>0</v>
      </c>
      <c r="G14" s="122">
        <f t="shared" ca="1" si="1"/>
        <v>0</v>
      </c>
      <c r="H14" s="124"/>
    </row>
    <row r="15" spans="1:11" ht="31.5">
      <c r="A15" s="117">
        <v>9</v>
      </c>
      <c r="B15" s="120" t="s">
        <v>119</v>
      </c>
      <c r="C15" s="144"/>
      <c r="D15" s="145" t="s">
        <v>79</v>
      </c>
      <c r="E15" s="122"/>
      <c r="F15" s="122">
        <f>E15*10%</f>
        <v>0</v>
      </c>
      <c r="G15" s="122">
        <f t="shared" si="1"/>
        <v>0</v>
      </c>
      <c r="H15" s="124"/>
    </row>
    <row r="16" spans="1:11" ht="31.5">
      <c r="A16" s="117">
        <v>10</v>
      </c>
      <c r="B16" s="120" t="s">
        <v>120</v>
      </c>
      <c r="C16" s="144"/>
      <c r="D16" s="145" t="s">
        <v>79</v>
      </c>
      <c r="E16" s="122"/>
      <c r="F16" s="122"/>
      <c r="G16" s="122">
        <f t="shared" si="1"/>
        <v>0</v>
      </c>
      <c r="H16" s="124"/>
    </row>
    <row r="17" spans="1:11" ht="15.75">
      <c r="A17" s="117">
        <v>11</v>
      </c>
      <c r="B17" s="120" t="s">
        <v>121</v>
      </c>
      <c r="C17" s="144"/>
      <c r="D17" s="145" t="s">
        <v>79</v>
      </c>
      <c r="E17" s="122"/>
      <c r="F17" s="122"/>
      <c r="G17" s="122">
        <f t="shared" si="1"/>
        <v>0</v>
      </c>
      <c r="H17" s="124"/>
    </row>
    <row r="18" spans="1:11" ht="31.5">
      <c r="A18" s="117">
        <v>12</v>
      </c>
      <c r="B18" s="120" t="s">
        <v>122</v>
      </c>
      <c r="C18" s="144"/>
      <c r="D18" s="145" t="s">
        <v>79</v>
      </c>
      <c r="E18" s="122"/>
      <c r="F18" s="122">
        <f>E18*10%</f>
        <v>0</v>
      </c>
      <c r="G18" s="122">
        <f t="shared" si="1"/>
        <v>0</v>
      </c>
      <c r="H18" s="124"/>
    </row>
    <row r="19" spans="1:11" ht="31.5">
      <c r="A19" s="117">
        <v>13</v>
      </c>
      <c r="B19" s="120" t="s">
        <v>123</v>
      </c>
      <c r="C19" s="146">
        <f ca="1">'QD957'!H29/100</f>
        <v>3.8E-3</v>
      </c>
      <c r="D19" s="117" t="s">
        <v>118</v>
      </c>
      <c r="E19" s="122">
        <f ca="1">C19*$J$4</f>
        <v>0</v>
      </c>
      <c r="F19" s="122"/>
      <c r="G19" s="122">
        <f t="shared" ca="1" si="1"/>
        <v>0</v>
      </c>
      <c r="H19" s="124"/>
    </row>
    <row r="20" spans="1:11" ht="15.75">
      <c r="A20" s="117">
        <v>14</v>
      </c>
      <c r="B20" s="827" t="s">
        <v>890</v>
      </c>
      <c r="C20" s="146">
        <f ca="1">'QD957'!H27/100</f>
        <v>1.8999999999999998E-4</v>
      </c>
      <c r="D20" s="117" t="s">
        <v>118</v>
      </c>
      <c r="E20" s="122">
        <f ca="1">C20*$J$4</f>
        <v>0</v>
      </c>
      <c r="F20" s="122"/>
      <c r="G20" s="122">
        <f t="shared" ca="1" si="1"/>
        <v>0</v>
      </c>
      <c r="H20" s="124"/>
    </row>
    <row r="21" spans="1:11" ht="31.5">
      <c r="A21" s="117">
        <v>15</v>
      </c>
      <c r="B21" s="833" t="s">
        <v>891</v>
      </c>
      <c r="C21" s="828">
        <v>1E-4</v>
      </c>
      <c r="D21" s="829" t="s">
        <v>585</v>
      </c>
      <c r="E21" s="830">
        <f>IF('Tong hop kinh phi'!E7=0,0,IF(C21*'Tong hop kinh phi'!E7&lt;1000000,1000000,MIN(50000000,C21*'Tong hop kinh phi'!E7)))</f>
        <v>1000000</v>
      </c>
      <c r="F21" s="830"/>
      <c r="G21" s="830">
        <f t="shared" si="1"/>
        <v>1000000</v>
      </c>
      <c r="H21" s="124"/>
    </row>
    <row r="22" spans="1:11" ht="31.5">
      <c r="A22" s="117">
        <v>16</v>
      </c>
      <c r="B22" s="833" t="s">
        <v>892</v>
      </c>
      <c r="C22" s="828">
        <v>1E-4</v>
      </c>
      <c r="D22" s="829" t="s">
        <v>586</v>
      </c>
      <c r="E22" s="830">
        <f>IF('Tong hop kinh phi'!E10=0,0,IF(C22*'Tong hop kinh phi'!E10&lt;1000000,1000000,MIN(50000000,C22*'Tong hop kinh phi'!E10)))</f>
        <v>0</v>
      </c>
      <c r="F22" s="830"/>
      <c r="G22" s="830">
        <f t="shared" si="1"/>
        <v>0</v>
      </c>
      <c r="H22" s="124"/>
    </row>
    <row r="23" spans="1:11" ht="15.75">
      <c r="A23" s="117">
        <v>17</v>
      </c>
      <c r="B23" s="120" t="s">
        <v>124</v>
      </c>
      <c r="C23" s="144"/>
      <c r="D23" s="117" t="s">
        <v>125</v>
      </c>
      <c r="E23" s="122"/>
      <c r="F23" s="122"/>
      <c r="G23" s="122">
        <f t="shared" si="1"/>
        <v>0</v>
      </c>
      <c r="H23" s="124"/>
    </row>
    <row r="24" spans="1:11" ht="15.75">
      <c r="A24" s="114"/>
      <c r="B24" s="126" t="s">
        <v>68</v>
      </c>
      <c r="C24" s="126"/>
      <c r="D24" s="117"/>
      <c r="E24" s="118">
        <f ca="1">SUM(E7:E23)</f>
        <v>1000000</v>
      </c>
      <c r="F24" s="118">
        <f ca="1">SUM(F7:F23)</f>
        <v>0</v>
      </c>
      <c r="G24" s="118">
        <f ca="1">SUM(G7:G23)</f>
        <v>1000000</v>
      </c>
      <c r="H24" s="143"/>
    </row>
    <row r="25" spans="1:11" ht="15.75">
      <c r="A25" s="428"/>
      <c r="B25" s="129" t="s">
        <v>126</v>
      </c>
      <c r="C25" s="148"/>
      <c r="D25" s="128"/>
      <c r="E25" s="130">
        <f ca="1">ROUND(E24,-3)</f>
        <v>1000000</v>
      </c>
      <c r="F25" s="130">
        <f ca="1">ROUND(F24,-3)</f>
        <v>0</v>
      </c>
      <c r="G25" s="130">
        <f ca="1">ROUND(G24,-3)</f>
        <v>1000000</v>
      </c>
      <c r="H25" s="143"/>
    </row>
    <row r="28" spans="1:11" ht="15.75">
      <c r="A28" s="153" t="s">
        <v>127</v>
      </c>
    </row>
    <row r="29" spans="1:11" customFormat="1" ht="15.75">
      <c r="A29" s="154" t="s">
        <v>1148</v>
      </c>
      <c r="H29" s="102"/>
      <c r="I29" s="102"/>
      <c r="J29" s="102"/>
      <c r="K29" s="102"/>
    </row>
    <row r="30" spans="1:11" customFormat="1" ht="15.75">
      <c r="A30" s="154" t="s">
        <v>1149</v>
      </c>
      <c r="H30" s="102"/>
      <c r="I30" s="102"/>
      <c r="J30" s="102"/>
      <c r="K30" s="102"/>
    </row>
    <row r="31" spans="1:11" customFormat="1" ht="15.75">
      <c r="A31" s="154" t="s">
        <v>1150</v>
      </c>
      <c r="H31" s="102"/>
      <c r="I31" s="102"/>
      <c r="J31" s="102"/>
      <c r="K31" s="102"/>
    </row>
    <row r="32" spans="1:11" customFormat="1" ht="15.75">
      <c r="A32" s="155"/>
      <c r="H32" s="102"/>
      <c r="I32" s="102"/>
      <c r="J32" s="102"/>
      <c r="K32" s="102"/>
    </row>
    <row r="33" spans="1:11" customFormat="1" ht="15.75">
      <c r="A33" s="156"/>
      <c r="H33" s="102"/>
      <c r="I33" s="102"/>
      <c r="J33" s="102"/>
      <c r="K33" s="102"/>
    </row>
  </sheetData>
  <mergeCells count="1">
    <mergeCell ref="J4:K4"/>
  </mergeCells>
  <dataValidations count="4">
    <dataValidation allowBlank="1" showInputMessage="1" showErrorMessage="1" promptTitle="Điều 6 Nghị định 85/2009/NĐ-CP" prompt="Nếu đã thuê tư vấn thẩm tra và tính chi phí thẩm tra ở dòng 20 bảng CHI PHÍ TƯ VẤN rồi thì không tính chi phí thẩm định này nữa." sqref="C22"/>
    <dataValidation allowBlank="1" showInputMessage="1" showErrorMessage="1" promptTitle="Điều 6 Nghị định 85/2009/NĐ-CP" prompt="Nếu đã thuê tư vấn thẩm tra và tính chi phí thẩm tra ở dòng 18 bảng CHI PHÍ TƯ VẤN rồi thì không tính chi phí thẩm định này nữa." sqref="C21"/>
    <dataValidation allowBlank="1" showInputMessage="1" showErrorMessage="1" promptTitle="Không tính thuế VAT" prompt="Khoản chi phí này không phải chịu thuế VAT" sqref="F19:F23"/>
    <dataValidation allowBlank="1" showInputMessage="1" showErrorMessage="1" prompt="Gõ giá trị TMĐT vào đây HOẶC tại ô d4 sheet QD957 để tính các chi phí theo ĐMTL ở dưới. Nếu đang xác định TMĐT thì gõ tạm giá trị để nội suy giá trị bên dưới, tránh tính vòng lặp (Cicular)." sqref="J4:K4"/>
  </dataValidations>
  <hyperlinks>
    <hyperlink ref="A1" location="ML!A1" tooltip="Về mục lục" display="BẢNG TỔNG HỢP CHI PHÍ KHÁC"/>
    <hyperlink ref="A2" location="'QD957'!A1" tooltip="Sang sheet nội suy định mức tỷ lệ" display="'QD957'!A1"/>
  </hyperlinks>
  <printOptions horizontalCentered="1"/>
  <pageMargins left="0.75" right="0.25" top="0.5" bottom="0.5" header="0.25" footer="0.25"/>
  <pageSetup paperSize="9" orientation="landscape" blackAndWhite="1" horizontalDpi="300" verticalDpi="300" r:id="rId1"/>
  <headerFooter>
    <oddHeader>&amp;L&amp;"+,nghiêng"&amp;10Dự toán GXD - www.giaxaydung.vn</oddHeader>
    <oddFooter>&amp;C&amp;P</oddFooter>
  </headerFooter>
  <ignoredErrors>
    <ignoredError sqref="A2:A3" unlockedFormula="1"/>
  </ignoredErrors>
</worksheet>
</file>

<file path=xl/worksheets/sheet27.xml><?xml version="1.0" encoding="utf-8"?>
<worksheet xmlns="http://schemas.openxmlformats.org/spreadsheetml/2006/main" xmlns:r="http://schemas.openxmlformats.org/officeDocument/2006/relationships">
  <sheetPr codeName="Sheet7">
    <tabColor rgb="FFFF0000"/>
  </sheetPr>
  <dimension ref="A1:G50"/>
  <sheetViews>
    <sheetView zoomScale="85" zoomScaleNormal="85" workbookViewId="0">
      <selection activeCell="C7" sqref="C7"/>
    </sheetView>
  </sheetViews>
  <sheetFormatPr defaultRowHeight="15"/>
  <cols>
    <col min="1" max="1" width="6.85546875" customWidth="1"/>
    <col min="2" max="2" width="41.28515625" customWidth="1"/>
    <col min="3" max="7" width="14.5703125" customWidth="1"/>
  </cols>
  <sheetData>
    <row r="1" spans="1:7" ht="22.5">
      <c r="A1" s="2" t="s">
        <v>130</v>
      </c>
      <c r="B1" s="99"/>
      <c r="C1" s="99"/>
      <c r="D1" s="99"/>
      <c r="E1" s="221"/>
      <c r="F1" s="221"/>
      <c r="G1" s="221"/>
    </row>
    <row r="2" spans="1:7" ht="18.75">
      <c r="A2" s="3" t="str">
        <f>'Bia1'!D42&amp;'Bia1'!E42</f>
        <v>CÔNG TRÌNH: NHÀ BIỆT THỰ GXD</v>
      </c>
      <c r="B2" s="103"/>
      <c r="C2" s="103"/>
      <c r="D2" s="103"/>
      <c r="E2" s="221"/>
      <c r="F2" s="221"/>
      <c r="G2" s="221"/>
    </row>
    <row r="3" spans="1:7" ht="18.75">
      <c r="A3" s="3" t="str">
        <f>'Bia1'!D43&amp;'Bia1'!E43</f>
        <v>HẠNG MỤC: ĐỔI BẢNG MÃ FONT RẤT ĐƠN GIẢN TRONG DỰ TOÁN GXD</v>
      </c>
      <c r="B3" s="103"/>
      <c r="C3" s="103"/>
      <c r="D3" s="103"/>
      <c r="E3" s="221"/>
      <c r="F3" s="221"/>
      <c r="G3" s="221"/>
    </row>
    <row r="4" spans="1:7" ht="18.75">
      <c r="B4" s="222" t="s">
        <v>628</v>
      </c>
      <c r="C4" s="223">
        <f>'Tong hop kinh phi'!G7</f>
        <v>109606069.10259347</v>
      </c>
      <c r="D4" s="224"/>
      <c r="E4" s="224"/>
      <c r="F4" s="224"/>
      <c r="G4" s="224"/>
    </row>
    <row r="5" spans="1:7" ht="18.75">
      <c r="B5" s="222" t="s">
        <v>629</v>
      </c>
      <c r="C5" s="223">
        <f>'Tong hop kinh phi'!G10</f>
        <v>0</v>
      </c>
      <c r="D5" s="224"/>
      <c r="E5" s="224"/>
      <c r="F5" s="224"/>
      <c r="G5" s="224"/>
    </row>
    <row r="6" spans="1:7" ht="18.75">
      <c r="B6" s="222" t="s">
        <v>630</v>
      </c>
      <c r="C6" s="223">
        <f ca="1">'Tong hop kinh phi'!G12</f>
        <v>2514961.0764995078</v>
      </c>
      <c r="G6" s="224"/>
    </row>
    <row r="7" spans="1:7" ht="18.75">
      <c r="B7" s="222" t="s">
        <v>631</v>
      </c>
      <c r="C7" s="223">
        <f ca="1">'Tong hop kinh phi'!G13</f>
        <v>9294000</v>
      </c>
      <c r="G7" s="224"/>
    </row>
    <row r="8" spans="1:7" ht="15.75">
      <c r="B8" s="225" t="s">
        <v>131</v>
      </c>
      <c r="C8" s="226">
        <f ca="1">'Tong hop kinh phi'!G14</f>
        <v>1000000</v>
      </c>
      <c r="D8" s="224"/>
      <c r="E8" s="224"/>
      <c r="F8" s="224"/>
      <c r="G8" s="224"/>
    </row>
    <row r="9" spans="1:7" ht="15.75">
      <c r="B9" s="227" t="s">
        <v>132</v>
      </c>
      <c r="C9" s="228">
        <f ca="1">SUM(C4:C8)</f>
        <v>122415030.17909297</v>
      </c>
      <c r="D9" s="229"/>
      <c r="E9" s="229"/>
      <c r="F9" s="229"/>
      <c r="G9" s="229"/>
    </row>
    <row r="10" spans="1:7" ht="15.75">
      <c r="A10" s="230"/>
      <c r="B10" s="231"/>
      <c r="C10" s="231"/>
      <c r="D10" s="232"/>
      <c r="E10" s="232"/>
      <c r="F10" s="232"/>
      <c r="G10" s="232"/>
    </row>
    <row r="11" spans="1:7" ht="17.25">
      <c r="A11" s="233" t="s">
        <v>632</v>
      </c>
      <c r="B11" s="234"/>
      <c r="C11" s="235"/>
      <c r="D11" s="235"/>
      <c r="E11" s="235"/>
      <c r="F11" s="235"/>
      <c r="G11" s="235"/>
    </row>
    <row r="12" spans="1:7" ht="30.75" customHeight="1">
      <c r="A12" s="236"/>
      <c r="B12" s="234"/>
      <c r="C12" s="235"/>
      <c r="D12" s="237" t="s">
        <v>133</v>
      </c>
      <c r="E12" s="238">
        <v>0.05</v>
      </c>
      <c r="F12" s="239"/>
      <c r="G12" s="239"/>
    </row>
    <row r="13" spans="1:7" ht="18" customHeight="1">
      <c r="A13" s="240"/>
      <c r="B13" s="241" t="s">
        <v>134</v>
      </c>
      <c r="C13" s="242">
        <f ca="1">$E$12*(C4+C5+C6+C7+C8)</f>
        <v>6120751.5089546489</v>
      </c>
      <c r="G13" s="243"/>
    </row>
    <row r="14" spans="1:7" ht="17.25">
      <c r="A14" s="243" t="s">
        <v>633</v>
      </c>
      <c r="B14" s="244"/>
      <c r="C14" s="240"/>
      <c r="D14" s="240"/>
      <c r="E14" s="240"/>
      <c r="F14" s="240"/>
      <c r="G14" s="240"/>
    </row>
    <row r="15" spans="1:7" ht="20.100000000000001" customHeight="1">
      <c r="A15" s="245"/>
      <c r="B15" s="244"/>
      <c r="C15" s="240"/>
      <c r="D15" s="240"/>
      <c r="E15" s="240"/>
      <c r="F15" s="240"/>
      <c r="G15" s="240"/>
    </row>
    <row r="16" spans="1:7" ht="20.100000000000001" customHeight="1">
      <c r="A16" s="240"/>
      <c r="B16" s="244"/>
      <c r="C16" s="240"/>
      <c r="D16" s="240"/>
      <c r="E16" s="240"/>
      <c r="F16" s="240"/>
      <c r="G16" s="240"/>
    </row>
    <row r="17" spans="1:7" ht="20.100000000000001" customHeight="1">
      <c r="A17" s="229" t="s">
        <v>135</v>
      </c>
      <c r="B17" s="244"/>
      <c r="C17" s="240"/>
      <c r="D17" s="240"/>
      <c r="E17" s="240"/>
      <c r="F17" s="240"/>
      <c r="G17" s="240"/>
    </row>
    <row r="18" spans="1:7" ht="20.100000000000001" customHeight="1">
      <c r="A18" s="229" t="s">
        <v>136</v>
      </c>
      <c r="B18" s="244"/>
      <c r="C18" s="240"/>
      <c r="D18" s="240"/>
      <c r="E18" s="240"/>
      <c r="F18" s="240"/>
      <c r="G18" s="240"/>
    </row>
    <row r="19" spans="1:7" ht="20.100000000000001" customHeight="1">
      <c r="A19" s="239" t="s">
        <v>137</v>
      </c>
      <c r="B19" s="239"/>
      <c r="C19" s="224"/>
      <c r="D19" s="240"/>
      <c r="E19" s="240"/>
      <c r="F19" s="239"/>
      <c r="G19" s="239"/>
    </row>
    <row r="20" spans="1:7" ht="20.100000000000001" customHeight="1">
      <c r="A20" s="246" t="s">
        <v>596</v>
      </c>
      <c r="B20" s="246"/>
      <c r="C20" s="246"/>
      <c r="D20" s="240"/>
      <c r="E20" s="240"/>
      <c r="F20" s="239"/>
      <c r="G20" s="239"/>
    </row>
    <row r="21" spans="1:7" ht="20.100000000000001" customHeight="1">
      <c r="A21" s="247" t="s">
        <v>595</v>
      </c>
      <c r="B21" s="246"/>
      <c r="C21" s="248">
        <v>0</v>
      </c>
      <c r="D21" s="240"/>
      <c r="E21" s="240"/>
      <c r="G21" s="239"/>
    </row>
    <row r="22" spans="1:7" ht="15.75">
      <c r="A22" s="239"/>
      <c r="B22" s="239"/>
      <c r="C22" s="239"/>
      <c r="D22" s="240"/>
      <c r="E22" s="240"/>
      <c r="F22" s="239"/>
      <c r="G22" s="239"/>
    </row>
    <row r="23" spans="1:7" ht="20.100000000000001" customHeight="1">
      <c r="A23" s="240" t="s">
        <v>138</v>
      </c>
      <c r="B23" s="244"/>
      <c r="C23" s="240"/>
      <c r="D23" s="240"/>
      <c r="E23" s="240"/>
      <c r="F23" s="240"/>
      <c r="G23" s="240"/>
    </row>
    <row r="24" spans="1:7" ht="20.100000000000001" customHeight="1">
      <c r="A24" s="1374" t="s">
        <v>660</v>
      </c>
      <c r="B24" s="1374" t="s">
        <v>139</v>
      </c>
      <c r="C24" s="250" t="s">
        <v>140</v>
      </c>
      <c r="D24" s="250"/>
      <c r="E24" s="250"/>
      <c r="F24" s="250"/>
      <c r="G24" s="250"/>
    </row>
    <row r="25" spans="1:7" ht="20.100000000000001" customHeight="1">
      <c r="A25" s="1374"/>
      <c r="B25" s="1374"/>
      <c r="C25" s="249">
        <v>1</v>
      </c>
      <c r="D25" s="249">
        <v>2</v>
      </c>
      <c r="E25" s="249">
        <v>3</v>
      </c>
      <c r="F25" s="249">
        <v>4</v>
      </c>
      <c r="G25" s="249">
        <v>5</v>
      </c>
    </row>
    <row r="26" spans="1:7" ht="20.100000000000001" customHeight="1">
      <c r="A26" s="251">
        <v>1</v>
      </c>
      <c r="B26" s="252" t="s">
        <v>141</v>
      </c>
      <c r="C26" s="249"/>
      <c r="D26" s="249"/>
      <c r="E26" s="249"/>
      <c r="F26" s="249"/>
      <c r="G26" s="249"/>
    </row>
    <row r="27" spans="1:7" ht="20.100000000000001" customHeight="1">
      <c r="A27" s="251">
        <v>2</v>
      </c>
      <c r="B27" s="252" t="s">
        <v>142</v>
      </c>
      <c r="C27" s="253">
        <f ca="1">C26*$C$9</f>
        <v>0</v>
      </c>
      <c r="D27" s="253">
        <f ca="1">D26*$C$9</f>
        <v>0</v>
      </c>
      <c r="E27" s="253">
        <f ca="1">E26*$C$9</f>
        <v>0</v>
      </c>
      <c r="F27" s="253">
        <f ca="1">F26*$C$9</f>
        <v>0</v>
      </c>
      <c r="G27" s="253">
        <f ca="1">G26*$C$9</f>
        <v>0</v>
      </c>
    </row>
    <row r="28" spans="1:7" ht="15.75">
      <c r="A28" s="239"/>
      <c r="B28" s="239"/>
      <c r="C28" s="239"/>
      <c r="D28" s="239"/>
      <c r="E28" s="239"/>
      <c r="F28" s="239"/>
      <c r="G28" s="239"/>
    </row>
    <row r="29" spans="1:7" ht="20.100000000000001" customHeight="1">
      <c r="A29" s="240" t="s">
        <v>143</v>
      </c>
      <c r="B29" s="244"/>
      <c r="C29" s="240"/>
      <c r="D29" s="240"/>
      <c r="E29" s="240"/>
      <c r="F29" s="240"/>
      <c r="G29" s="240"/>
    </row>
    <row r="30" spans="1:7" ht="20.100000000000001" customHeight="1">
      <c r="A30" s="1375" t="s">
        <v>660</v>
      </c>
      <c r="B30" s="1377" t="s">
        <v>144</v>
      </c>
      <c r="C30" s="250" t="s">
        <v>140</v>
      </c>
      <c r="D30" s="250"/>
      <c r="E30" s="250"/>
      <c r="F30" s="250"/>
      <c r="G30" s="250"/>
    </row>
    <row r="31" spans="1:7" ht="20.100000000000001" customHeight="1">
      <c r="A31" s="1376"/>
      <c r="B31" s="1378"/>
      <c r="C31" s="256">
        <v>1</v>
      </c>
      <c r="D31" s="256">
        <v>2</v>
      </c>
      <c r="E31" s="256">
        <v>3</v>
      </c>
      <c r="F31" s="256">
        <v>4</v>
      </c>
      <c r="G31" s="256">
        <v>5</v>
      </c>
    </row>
    <row r="32" spans="1:7" ht="20.100000000000001" customHeight="1">
      <c r="A32" s="257">
        <v>1</v>
      </c>
      <c r="B32" s="258" t="s">
        <v>145</v>
      </c>
      <c r="C32" s="259">
        <v>139</v>
      </c>
      <c r="D32" s="259">
        <v>144</v>
      </c>
      <c r="E32" s="259">
        <v>149</v>
      </c>
      <c r="F32" s="259">
        <v>175</v>
      </c>
      <c r="G32" s="259">
        <v>254</v>
      </c>
    </row>
    <row r="33" spans="1:7" ht="31.5">
      <c r="A33" s="260">
        <v>2</v>
      </c>
      <c r="B33" s="261" t="s">
        <v>146</v>
      </c>
      <c r="C33" s="260"/>
      <c r="D33" s="262">
        <f>D32/C32</f>
        <v>1.0359712230215827</v>
      </c>
      <c r="E33" s="262">
        <f>E32/D32</f>
        <v>1.0347222222222223</v>
      </c>
      <c r="F33" s="262">
        <f>F32/E32</f>
        <v>1.174496644295302</v>
      </c>
      <c r="G33" s="262">
        <f>G32/F32</f>
        <v>1.4514285714285715</v>
      </c>
    </row>
    <row r="34" spans="1:7" ht="20.100000000000001" customHeight="1">
      <c r="A34" s="263">
        <v>3</v>
      </c>
      <c r="B34" s="264" t="s">
        <v>147</v>
      </c>
      <c r="C34" s="263"/>
      <c r="D34" s="265">
        <f>D33-1</f>
        <v>3.5971223021582732E-2</v>
      </c>
      <c r="E34" s="265">
        <f>E33-1</f>
        <v>3.4722222222222321E-2</v>
      </c>
      <c r="F34" s="265">
        <f>F33-1</f>
        <v>0.17449664429530198</v>
      </c>
      <c r="G34" s="265">
        <f>G33-1</f>
        <v>0.45142857142857151</v>
      </c>
    </row>
    <row r="35" spans="1:7" ht="20.100000000000001" customHeight="1">
      <c r="A35" s="255">
        <v>4</v>
      </c>
      <c r="B35" s="266" t="s">
        <v>597</v>
      </c>
      <c r="C35" s="267"/>
      <c r="D35" s="267"/>
      <c r="E35" s="267"/>
      <c r="F35" s="268"/>
      <c r="G35" s="268">
        <f>ROUND(AVERAGE(D34:G34),G31-1)</f>
        <v>0.17419999999999999</v>
      </c>
    </row>
    <row r="36" spans="1:7" ht="15.75">
      <c r="A36" s="239"/>
      <c r="B36" s="239"/>
      <c r="C36" s="239"/>
      <c r="D36" s="239"/>
      <c r="E36" s="239"/>
      <c r="F36" s="239"/>
      <c r="G36" s="239"/>
    </row>
    <row r="37" spans="1:7" ht="20.100000000000001" customHeight="1">
      <c r="A37" s="240" t="s">
        <v>148</v>
      </c>
      <c r="B37" s="240"/>
      <c r="C37" s="240"/>
      <c r="D37" s="240"/>
      <c r="E37" s="240"/>
      <c r="F37" s="240"/>
      <c r="G37" s="240"/>
    </row>
    <row r="38" spans="1:7" ht="20.100000000000001" customHeight="1">
      <c r="A38" s="1375" t="s">
        <v>660</v>
      </c>
      <c r="B38" s="1377" t="s">
        <v>139</v>
      </c>
      <c r="C38" s="250" t="s">
        <v>140</v>
      </c>
      <c r="D38" s="250"/>
      <c r="E38" s="250"/>
      <c r="F38" s="250"/>
      <c r="G38" s="250"/>
    </row>
    <row r="39" spans="1:7" ht="20.100000000000001" customHeight="1">
      <c r="A39" s="1376"/>
      <c r="B39" s="1378"/>
      <c r="C39" s="256">
        <v>1</v>
      </c>
      <c r="D39" s="256">
        <v>2</v>
      </c>
      <c r="E39" s="256">
        <v>3</v>
      </c>
      <c r="F39" s="256">
        <v>4</v>
      </c>
      <c r="G39" s="256">
        <v>5</v>
      </c>
    </row>
    <row r="40" spans="1:7" ht="31.5">
      <c r="A40" s="254">
        <v>1</v>
      </c>
      <c r="B40" s="269" t="s">
        <v>149</v>
      </c>
      <c r="C40" s="270">
        <f ca="1">C27</f>
        <v>0</v>
      </c>
      <c r="D40" s="270">
        <f ca="1">D27</f>
        <v>0</v>
      </c>
      <c r="E40" s="270">
        <f ca="1">E27</f>
        <v>0</v>
      </c>
      <c r="F40" s="270">
        <f ca="1">F27</f>
        <v>0</v>
      </c>
      <c r="G40" s="270">
        <f ca="1">G27</f>
        <v>0</v>
      </c>
    </row>
    <row r="41" spans="1:7" ht="20.100000000000001" customHeight="1">
      <c r="A41" s="260">
        <v>3</v>
      </c>
      <c r="B41" s="261" t="s">
        <v>150</v>
      </c>
      <c r="C41" s="271">
        <f ca="1">C40*(1+$G$35+$C$21)^C39</f>
        <v>0</v>
      </c>
      <c r="D41" s="271">
        <f ca="1">D40*(1+$G$35+$C$21)^D39</f>
        <v>0</v>
      </c>
      <c r="E41" s="271">
        <f ca="1">E40*(1+$G$35+$C$21)^E39</f>
        <v>0</v>
      </c>
      <c r="F41" s="271">
        <f ca="1">F40*(1+$G$35+$C$21)^F39</f>
        <v>0</v>
      </c>
      <c r="G41" s="271">
        <f ca="1">G40*(1+$G$35+$C$21)^G39</f>
        <v>0</v>
      </c>
    </row>
    <row r="42" spans="1:7" ht="20.100000000000001" customHeight="1">
      <c r="A42" s="260">
        <v>4</v>
      </c>
      <c r="B42" s="261" t="s">
        <v>151</v>
      </c>
      <c r="C42" s="271">
        <f ca="1">C41-C40</f>
        <v>0</v>
      </c>
      <c r="D42" s="271">
        <f ca="1">D41-D40</f>
        <v>0</v>
      </c>
      <c r="E42" s="271">
        <f ca="1">E41-E40</f>
        <v>0</v>
      </c>
      <c r="F42" s="271">
        <f ca="1">F41-F40</f>
        <v>0</v>
      </c>
      <c r="G42" s="271">
        <f ca="1">G41-G40</f>
        <v>0</v>
      </c>
    </row>
    <row r="43" spans="1:7" ht="20.100000000000001" customHeight="1">
      <c r="A43" s="255">
        <v>5</v>
      </c>
      <c r="B43" s="266" t="s">
        <v>634</v>
      </c>
      <c r="C43" s="272">
        <f ca="1">C42</f>
        <v>0</v>
      </c>
      <c r="D43" s="272">
        <f ca="1">C43+D42</f>
        <v>0</v>
      </c>
      <c r="E43" s="272">
        <f ca="1">D43+E42</f>
        <v>0</v>
      </c>
      <c r="F43" s="272">
        <f ca="1">E43+F42</f>
        <v>0</v>
      </c>
      <c r="G43" s="273">
        <f ca="1">F43+G42</f>
        <v>0</v>
      </c>
    </row>
    <row r="45" spans="1:7" ht="18.75">
      <c r="B45" s="274"/>
      <c r="C45" s="275" t="s">
        <v>635</v>
      </c>
      <c r="D45" s="1373">
        <f ca="1">C13+G43</f>
        <v>6120751.5089546489</v>
      </c>
      <c r="E45" s="1373"/>
    </row>
    <row r="46" spans="1:7" ht="15.75">
      <c r="B46" s="274"/>
      <c r="C46" s="276" t="s">
        <v>152</v>
      </c>
      <c r="D46" s="277">
        <f ca="1">IF(ISERROR(D45/C9),"",D45/C9)</f>
        <v>0.05</v>
      </c>
      <c r="E46" s="224"/>
    </row>
    <row r="48" spans="1:7">
      <c r="A48" s="278" t="s">
        <v>127</v>
      </c>
    </row>
    <row r="49" spans="1:1">
      <c r="A49" t="s">
        <v>153</v>
      </c>
    </row>
    <row r="50" spans="1:1">
      <c r="A50" t="s">
        <v>154</v>
      </c>
    </row>
  </sheetData>
  <mergeCells count="7">
    <mergeCell ref="D45:E45"/>
    <mergeCell ref="A24:A25"/>
    <mergeCell ref="B24:B25"/>
    <mergeCell ref="A30:A31"/>
    <mergeCell ref="B30:B31"/>
    <mergeCell ref="A38:A39"/>
    <mergeCell ref="B38:B39"/>
  </mergeCells>
  <phoneticPr fontId="87" type="noConversion"/>
  <dataValidations count="9">
    <dataValidation allowBlank="1" showInputMessage="1" showErrorMessage="1" promptTitle="www.giaxaydung.vn" prompt="Chưa bao gồm chi phí lãi vay." sqref="B9"/>
    <dataValidation allowBlank="1" showInputMessage="1" showErrorMessage="1" promptTitle="www.giaxaydung.vn" prompt="Mức độ trượt giá bq tính trên cơ sở bquân các chỉ số giá xây dựng công trình theo loại công trình của tối thiểu 3 năm gần nhất so với thời điểm tính toán (không tính đến những thời điểm có biến động bất thường về giá nguyên liệu, nhiên liệu và VLXD." sqref="A20"/>
    <dataValidation allowBlank="1" showInputMessage="1" showErrorMessage="1" promptTitle="www.giaxaydung.vn" prompt="Mức dự báo biến động của các yếu tố chi phí, giá cả trong khu vực và quốc tế so với mức độ trượt giá bình quân năm đã tính. Tham số này phụ thuộc vào trình độ, số liệu, khả năng dự báo của chuyên gia tư vấn. Nếu không dự báo được thì có thể để bằng 0." sqref="A21"/>
    <dataValidation allowBlank="1" showInputMessage="1" showErrorMessage="1" promptTitle="www.giaxaydung.vn" prompt="Nhập mức dự báo biến động vào đây. Nếu mức dự báo tăng nhập số dương, nếu giảm thì nhập số âm, nếu không dự báo được thì có thể để bằng 0." sqref="C21"/>
    <dataValidation allowBlank="1" showInputMessage="1" showErrorMessage="1" promptTitle="http://giaxaydung.vn" prompt="Nếu không có kế hoạch (tiến độ) phân bổ vốn thì có thể chia bình quân cho các năm và đưa số liệu vào đây." sqref="C27:G27"/>
    <dataValidation allowBlank="1" showInputMessage="1" showErrorMessage="1" prompt="Tra các số liệu này trong các tập chỉ số giá của Bộ Xây dựng. Có thể tải các tập chỉ số giá đó ở địa chỉ: http://www.giaxaydung.vn/diendan/f276" sqref="C32:G32"/>
    <dataValidation allowBlank="1" showInputMessage="1" showErrorMessage="1" prompt="Bình quân đơn giản hệ số trượt giá của 3 năm" sqref="F35"/>
    <dataValidation allowBlank="1" showInputMessage="1" showErrorMessage="1" promptTitle="http://giaxaydung.vn" prompt="Bình quân đơn giản hệ số trượt giá của 4 năm" sqref="G35"/>
    <dataValidation allowBlank="1" showInputMessage="1" showErrorMessage="1" promptTitle="http://giaxaydung.vn" prompt="Gdp2 (Thông tư 04/2010/TT-BXD của Bộ Xây dựng)" sqref="G43"/>
  </dataValidations>
  <hyperlinks>
    <hyperlink ref="A1" location="THKP!A1" tooltip="Về bảng TH giá trị dự toán" display="BẢNG CHI PHÍ DỰ PHÒNG CHO YẾU TỐ TRƯỢT GIÁ"/>
  </hyperlinks>
  <printOptions horizontalCentered="1"/>
  <pageMargins left="0.70866141732283472" right="0.31496062992125984" top="0.74803149606299213" bottom="0.74803149606299213" header="0.31496062992125984" footer="0.31496062992125984"/>
  <pageSetup paperSize="9" orientation="portrait" horizontalDpi="300" verticalDpi="300" r:id="rId1"/>
  <headerFooter>
    <oddHeader>&amp;L&amp;"+,nghiêng"&amp;10Dự toán GXD - www.giaxaydung.vn</oddHeader>
    <oddFooter>&amp;C&amp;P</oddFooter>
  </headerFooter>
  <ignoredErrors>
    <ignoredError sqref="A2:A3" unlockedFormula="1"/>
  </ignoredErrors>
  <legacyDrawing r:id="rId2"/>
  <oleObjects>
    <oleObject progId="Equation.3" shapeId="3073" r:id="rId3"/>
    <oleObject progId="Equation.3" shapeId="3074" r:id="rId4"/>
  </oleObjects>
</worksheet>
</file>

<file path=xl/worksheets/sheet28.xml><?xml version="1.0" encoding="utf-8"?>
<worksheet xmlns="http://schemas.openxmlformats.org/spreadsheetml/2006/main" xmlns:r="http://schemas.openxmlformats.org/officeDocument/2006/relationships">
  <sheetPr codeName="Sheet5" enableFormatConditionsCalculation="0">
    <tabColor rgb="FFFF0000"/>
  </sheetPr>
  <dimension ref="A1:AQ248"/>
  <sheetViews>
    <sheetView showZeros="0" view="pageBreakPreview" zoomScaleSheetLayoutView="100" workbookViewId="0">
      <selection activeCell="C7" sqref="C7"/>
    </sheetView>
  </sheetViews>
  <sheetFormatPr defaultColWidth="9" defaultRowHeight="15.75"/>
  <cols>
    <col min="1" max="1" width="2.7109375" style="157" customWidth="1"/>
    <col min="2" max="2" width="3.5703125" style="194" customWidth="1"/>
    <col min="3" max="3" width="27.140625" style="157" customWidth="1"/>
    <col min="4" max="5" width="10.28515625" style="157" customWidth="1"/>
    <col min="6" max="7" width="9.5703125" style="157" customWidth="1"/>
    <col min="8" max="8" width="12" style="157" customWidth="1"/>
    <col min="9" max="9" width="3.7109375" style="157" customWidth="1"/>
    <col min="10" max="11" width="3.7109375" style="157" hidden="1" customWidth="1"/>
    <col min="12" max="12" width="5" style="157" hidden="1" customWidth="1"/>
    <col min="13" max="13" width="5.85546875" style="157" hidden="1" customWidth="1"/>
    <col min="14" max="26" width="5" style="157" hidden="1" customWidth="1"/>
    <col min="27" max="27" width="5" style="157" customWidth="1"/>
    <col min="28" max="28" width="21.85546875" style="157" customWidth="1"/>
    <col min="29" max="16384" width="9" style="157"/>
  </cols>
  <sheetData>
    <row r="1" spans="1:43" ht="27.75" customHeight="1">
      <c r="A1" s="493"/>
      <c r="B1" s="2" t="s">
        <v>155</v>
      </c>
      <c r="C1" s="158"/>
      <c r="D1" s="158"/>
      <c r="E1" s="158"/>
      <c r="F1" s="158"/>
      <c r="G1" s="158"/>
      <c r="H1" s="158"/>
      <c r="AA1" s="159" t="s">
        <v>156</v>
      </c>
      <c r="AC1" s="160"/>
      <c r="AD1" s="160"/>
      <c r="AE1" s="160"/>
      <c r="AF1" s="160"/>
      <c r="AG1" s="160"/>
      <c r="AH1" s="160"/>
      <c r="AI1" s="160"/>
      <c r="AJ1" s="160"/>
      <c r="AK1" s="160"/>
      <c r="AL1" s="160"/>
      <c r="AM1" s="160"/>
      <c r="AN1" s="160"/>
      <c r="AO1" s="160"/>
      <c r="AP1" s="160"/>
      <c r="AQ1" s="160"/>
    </row>
    <row r="2" spans="1:43" ht="15.95" customHeight="1">
      <c r="B2" s="161"/>
      <c r="C2" s="162" t="s">
        <v>157</v>
      </c>
      <c r="D2" s="1383">
        <f>'Tong hop kinh phi'!E7</f>
        <v>99641881.002357692</v>
      </c>
      <c r="E2" s="1384"/>
      <c r="F2" s="163"/>
      <c r="G2" s="163"/>
      <c r="H2" s="163"/>
      <c r="AO2" s="160"/>
      <c r="AP2" s="160"/>
      <c r="AQ2" s="160"/>
    </row>
    <row r="3" spans="1:43" ht="15.95" customHeight="1">
      <c r="B3" s="161"/>
      <c r="C3" s="165" t="s">
        <v>159</v>
      </c>
      <c r="D3" s="1385">
        <f>'Tong hop kinh phi'!E10</f>
        <v>0</v>
      </c>
      <c r="E3" s="1386"/>
      <c r="F3" s="163"/>
      <c r="G3" s="163"/>
      <c r="H3" s="163"/>
      <c r="AA3" s="159"/>
      <c r="AB3" s="160"/>
      <c r="AC3" s="160"/>
      <c r="AD3" s="160"/>
      <c r="AE3" s="160"/>
      <c r="AF3" s="160"/>
      <c r="AG3" s="160"/>
      <c r="AH3" s="160"/>
      <c r="AI3" s="159"/>
      <c r="AJ3" s="160"/>
      <c r="AK3" s="160"/>
      <c r="AL3" s="160"/>
      <c r="AM3" s="160"/>
      <c r="AN3" s="164" t="s">
        <v>158</v>
      </c>
      <c r="AO3" s="160"/>
      <c r="AP3" s="160"/>
      <c r="AQ3" s="160"/>
    </row>
    <row r="4" spans="1:43" ht="15.95" customHeight="1">
      <c r="B4" s="161"/>
      <c r="C4" s="865" t="s">
        <v>901</v>
      </c>
      <c r="D4" s="1388"/>
      <c r="E4" s="1389"/>
      <c r="F4" s="163"/>
      <c r="G4" s="163"/>
      <c r="H4" s="163"/>
      <c r="AA4" s="166" t="s">
        <v>9</v>
      </c>
      <c r="AB4" s="166" t="s">
        <v>160</v>
      </c>
      <c r="AC4" s="198" t="s">
        <v>161</v>
      </c>
      <c r="AD4" s="208"/>
      <c r="AE4" s="208"/>
      <c r="AF4" s="208"/>
      <c r="AG4" s="208"/>
      <c r="AH4" s="208"/>
      <c r="AI4" s="208"/>
      <c r="AJ4" s="208"/>
      <c r="AK4" s="208"/>
      <c r="AL4" s="208"/>
      <c r="AM4" s="208"/>
      <c r="AN4" s="866"/>
      <c r="AO4" s="160"/>
      <c r="AP4" s="160"/>
      <c r="AQ4" s="160"/>
    </row>
    <row r="5" spans="1:43" ht="15.95" customHeight="1">
      <c r="B5" s="161"/>
      <c r="C5" s="167" t="s">
        <v>162</v>
      </c>
      <c r="D5" s="168">
        <v>1</v>
      </c>
      <c r="E5" s="169"/>
      <c r="F5" s="170"/>
      <c r="G5" s="163"/>
      <c r="H5" s="163"/>
      <c r="AA5" s="171"/>
      <c r="AB5" s="172"/>
      <c r="AC5" s="173">
        <v>10</v>
      </c>
      <c r="AD5" s="174">
        <v>20</v>
      </c>
      <c r="AE5" s="175">
        <v>50</v>
      </c>
      <c r="AF5" s="175">
        <v>100</v>
      </c>
      <c r="AG5" s="175">
        <v>200</v>
      </c>
      <c r="AH5" s="175">
        <v>500</v>
      </c>
      <c r="AI5" s="176">
        <v>1000</v>
      </c>
      <c r="AJ5" s="176">
        <v>2000</v>
      </c>
      <c r="AK5" s="176">
        <v>5000</v>
      </c>
      <c r="AL5" s="176">
        <v>10000</v>
      </c>
      <c r="AM5" s="176">
        <v>20000</v>
      </c>
      <c r="AN5" s="176">
        <v>30000</v>
      </c>
      <c r="AO5" s="160"/>
      <c r="AP5" s="160"/>
      <c r="AQ5" s="160"/>
    </row>
    <row r="6" spans="1:43" ht="15.95" customHeight="1">
      <c r="B6" s="161"/>
      <c r="C6" s="167" t="s">
        <v>163</v>
      </c>
      <c r="D6" s="168">
        <v>1</v>
      </c>
      <c r="E6" s="169"/>
      <c r="F6" s="582" t="str">
        <f>IF(D6=1,"Chi phí lập BCKTKT gồm cả chi phí thiết kế",IF(OR(AND(BTK=3,D8=2),AND(BTK=2,D8=2)),"Không thể thiết kế 2 hoặc 3 bước với Báo cáo kinh tế kỹ thuật",""))</f>
        <v>Chi phí lập BCKTKT gồm cả chi phí thiết kế</v>
      </c>
      <c r="G6" s="163"/>
      <c r="H6" s="163"/>
      <c r="AA6" s="177">
        <v>1</v>
      </c>
      <c r="AB6" s="178" t="s">
        <v>10</v>
      </c>
      <c r="AC6" s="179">
        <v>2.524</v>
      </c>
      <c r="AD6" s="179">
        <v>2.141</v>
      </c>
      <c r="AE6" s="179">
        <v>1.9119999999999999</v>
      </c>
      <c r="AF6" s="179">
        <v>1.5369999999999999</v>
      </c>
      <c r="AG6" s="179">
        <v>1.4359999999999999</v>
      </c>
      <c r="AH6" s="179">
        <v>1.254</v>
      </c>
      <c r="AI6" s="179">
        <v>1.026</v>
      </c>
      <c r="AJ6" s="180">
        <v>0.79300000000000004</v>
      </c>
      <c r="AK6" s="180">
        <v>0.58899999999999997</v>
      </c>
      <c r="AL6" s="180">
        <v>0.442</v>
      </c>
      <c r="AM6" s="181">
        <v>0.33</v>
      </c>
      <c r="AN6" s="180">
        <v>0.26400000000000001</v>
      </c>
      <c r="AO6" s="160"/>
      <c r="AP6" s="160"/>
      <c r="AQ6" s="160"/>
    </row>
    <row r="7" spans="1:43" ht="15.95" customHeight="1">
      <c r="B7" s="161"/>
      <c r="C7" s="167" t="s">
        <v>164</v>
      </c>
      <c r="D7" s="168">
        <v>5</v>
      </c>
      <c r="E7" s="169"/>
      <c r="F7" s="182"/>
      <c r="G7" s="183"/>
      <c r="H7" s="163"/>
      <c r="I7" s="581"/>
      <c r="J7" s="581"/>
      <c r="AA7" s="177">
        <v>2</v>
      </c>
      <c r="AB7" s="178" t="s">
        <v>14</v>
      </c>
      <c r="AC7" s="179">
        <v>2.657</v>
      </c>
      <c r="AD7" s="179">
        <v>2.254</v>
      </c>
      <c r="AE7" s="179">
        <v>2.0129999999999999</v>
      </c>
      <c r="AF7" s="179">
        <v>1.617</v>
      </c>
      <c r="AG7" s="179">
        <v>1.512</v>
      </c>
      <c r="AH7" s="179">
        <v>1.32</v>
      </c>
      <c r="AI7" s="179">
        <v>1.08</v>
      </c>
      <c r="AJ7" s="180">
        <v>0.93100000000000005</v>
      </c>
      <c r="AK7" s="181">
        <v>0.62</v>
      </c>
      <c r="AL7" s="180">
        <v>0.46500000000000002</v>
      </c>
      <c r="AM7" s="180">
        <v>0.34699999999999998</v>
      </c>
      <c r="AN7" s="180">
        <v>0.27800000000000002</v>
      </c>
      <c r="AO7" s="160"/>
      <c r="AP7" s="160"/>
      <c r="AQ7" s="160"/>
    </row>
    <row r="8" spans="1:43" ht="15.95" customHeight="1">
      <c r="B8" s="161"/>
      <c r="C8" s="184" t="s">
        <v>165</v>
      </c>
      <c r="D8" s="185">
        <f>IF(BTK=1,2,1)</f>
        <v>2</v>
      </c>
      <c r="E8" s="186"/>
      <c r="F8" s="580" t="str">
        <f>IF(AND(D6=D8,D6=1),"Lập dự án đầu tư thì không thể thiết 1 bước",IF(D2+D3=0,"",IF(AND(D8=1,(D2+D3)&lt;15000000000),"Công trình dưới 15 tỷ phải lập DAĐT sao?",IF(AND(D8=2,(D2+D3)&gt;=15000000000),"Công trình từ 15 tỷ trở lên phải lập DAĐT",""))))</f>
        <v/>
      </c>
      <c r="J8" s="580"/>
      <c r="K8" s="580"/>
      <c r="AA8" s="177">
        <v>3</v>
      </c>
      <c r="AB8" s="178" t="s">
        <v>17</v>
      </c>
      <c r="AC8" s="179">
        <v>2.2589999999999999</v>
      </c>
      <c r="AD8" s="179">
        <v>1.9159999999999999</v>
      </c>
      <c r="AE8" s="179">
        <v>1.7110000000000001</v>
      </c>
      <c r="AF8" s="179">
        <v>1.375</v>
      </c>
      <c r="AG8" s="179">
        <v>1.2849999999999999</v>
      </c>
      <c r="AH8" s="179">
        <v>1.1220000000000001</v>
      </c>
      <c r="AI8" s="180">
        <v>0.91800000000000004</v>
      </c>
      <c r="AJ8" s="180">
        <v>0.79100000000000004</v>
      </c>
      <c r="AK8" s="180">
        <v>0.52700000000000002</v>
      </c>
      <c r="AL8" s="180">
        <v>0.39500000000000002</v>
      </c>
      <c r="AM8" s="180">
        <v>0.29499999999999998</v>
      </c>
      <c r="AN8" s="180">
        <v>0.23599999999999999</v>
      </c>
      <c r="AO8" s="160"/>
      <c r="AP8" s="160"/>
      <c r="AQ8" s="160"/>
    </row>
    <row r="9" spans="1:43" ht="15.95" customHeight="1">
      <c r="B9" s="161"/>
      <c r="C9" s="187"/>
      <c r="D9" s="163"/>
      <c r="E9" s="163"/>
      <c r="F9" s="170"/>
      <c r="G9" s="163"/>
      <c r="H9" s="163"/>
      <c r="I9" s="581"/>
      <c r="J9" s="581"/>
      <c r="AA9" s="177">
        <v>4</v>
      </c>
      <c r="AB9" s="178" t="s">
        <v>166</v>
      </c>
      <c r="AC9" s="179">
        <v>2.391</v>
      </c>
      <c r="AD9" s="179">
        <v>2.0289999999999999</v>
      </c>
      <c r="AE9" s="179">
        <v>1.8109999999999999</v>
      </c>
      <c r="AF9" s="179">
        <v>1.4550000000000001</v>
      </c>
      <c r="AG9" s="179">
        <v>1.361</v>
      </c>
      <c r="AH9" s="179">
        <v>1.1879999999999999</v>
      </c>
      <c r="AI9" s="180">
        <v>0.97199999999999998</v>
      </c>
      <c r="AJ9" s="180">
        <v>0.83799999999999997</v>
      </c>
      <c r="AK9" s="180">
        <v>0.55800000000000005</v>
      </c>
      <c r="AL9" s="180">
        <v>0.41899999999999998</v>
      </c>
      <c r="AM9" s="180">
        <v>0.313</v>
      </c>
      <c r="AN9" s="181">
        <v>0.25</v>
      </c>
      <c r="AO9" s="160"/>
      <c r="AP9" s="160"/>
      <c r="AQ9" s="160"/>
    </row>
    <row r="10" spans="1:43" ht="15.95" customHeight="1">
      <c r="B10" s="428" t="s">
        <v>9</v>
      </c>
      <c r="C10" s="486" t="s">
        <v>167</v>
      </c>
      <c r="D10" s="486" t="s">
        <v>168</v>
      </c>
      <c r="E10" s="486" t="s">
        <v>169</v>
      </c>
      <c r="F10" s="486" t="s">
        <v>170</v>
      </c>
      <c r="G10" s="486" t="s">
        <v>171</v>
      </c>
      <c r="H10" s="486" t="s">
        <v>172</v>
      </c>
      <c r="AA10" s="177">
        <v>5</v>
      </c>
      <c r="AB10" s="178" t="s">
        <v>21</v>
      </c>
      <c r="AC10" s="179">
        <v>2.125</v>
      </c>
      <c r="AD10" s="179">
        <v>1.8029999999999999</v>
      </c>
      <c r="AE10" s="179">
        <v>1.61</v>
      </c>
      <c r="AF10" s="179">
        <v>1.294</v>
      </c>
      <c r="AG10" s="179">
        <v>1.21</v>
      </c>
      <c r="AH10" s="179">
        <v>1.056</v>
      </c>
      <c r="AI10" s="180">
        <v>0.86399999999999999</v>
      </c>
      <c r="AJ10" s="180">
        <v>0.74399999999999999</v>
      </c>
      <c r="AK10" s="180">
        <v>0.496</v>
      </c>
      <c r="AL10" s="180">
        <v>0.372</v>
      </c>
      <c r="AM10" s="180">
        <v>0.27800000000000002</v>
      </c>
      <c r="AN10" s="180">
        <v>0.222</v>
      </c>
      <c r="AO10" s="160"/>
      <c r="AP10" s="160"/>
      <c r="AQ10" s="160"/>
    </row>
    <row r="11" spans="1:43" ht="15.95" customHeight="1">
      <c r="B11" s="561" t="s">
        <v>173</v>
      </c>
      <c r="C11" s="562" t="s">
        <v>174</v>
      </c>
      <c r="D11" s="562"/>
      <c r="E11" s="562"/>
      <c r="F11" s="562"/>
      <c r="G11" s="562"/>
      <c r="H11" s="562"/>
      <c r="AA11" s="160"/>
      <c r="AB11" s="160"/>
      <c r="AC11" s="160"/>
      <c r="AD11" s="160"/>
      <c r="AE11" s="160"/>
      <c r="AF11" s="160"/>
      <c r="AG11" s="160"/>
      <c r="AH11" s="160"/>
      <c r="AI11" s="160"/>
      <c r="AJ11" s="160"/>
      <c r="AK11" s="160"/>
      <c r="AL11" s="160"/>
      <c r="AM11" s="160"/>
      <c r="AN11" s="160"/>
      <c r="AO11" s="160"/>
      <c r="AP11" s="160"/>
      <c r="AQ11" s="160"/>
    </row>
    <row r="12" spans="1:43" ht="15.95" customHeight="1">
      <c r="B12" s="563">
        <v>1</v>
      </c>
      <c r="C12" s="564" t="s">
        <v>175</v>
      </c>
      <c r="D12" s="565">
        <f ca="1">IF(XDTT+TBTT&lt;=AC5,AC5,OFFSET(AC5,0,J12-1))</f>
        <v>10</v>
      </c>
      <c r="E12" s="565">
        <f ca="1">OFFSET(AC5,0,K12-1)</f>
        <v>10</v>
      </c>
      <c r="F12" s="566">
        <f ca="1">IF(D12=E12,OFFSET(AC5,LCT,K12-1),OFFSET(AC5,LCT,J12-1))</f>
        <v>2.524</v>
      </c>
      <c r="G12" s="566">
        <f ca="1">OFFSET(AC5,LCT,K12-1)</f>
        <v>2.524</v>
      </c>
      <c r="H12" s="577">
        <f ca="1">ROUND(IF(D12=E12,OFFSET(AC5,LCT,K12-1),FORECAST(XDTT+TBTT,F12:G12,D12:E12)),3)</f>
        <v>2.524</v>
      </c>
      <c r="J12" s="157">
        <f>IF(XDTT+TBTT&gt;AN5,K12,K12+1)</f>
        <v>2</v>
      </c>
      <c r="K12" s="157">
        <f>IF(XDTT+TBTT&lt;=AC5,1,MATCH(XDTT+TBTT,AC5:AN5,1))</f>
        <v>1</v>
      </c>
      <c r="AA12" s="159" t="s">
        <v>176</v>
      </c>
      <c r="AB12" s="160"/>
      <c r="AC12" s="160"/>
      <c r="AD12" s="160"/>
      <c r="AE12" s="160"/>
      <c r="AF12" s="160"/>
      <c r="AG12" s="160"/>
      <c r="AH12" s="160"/>
      <c r="AI12" s="160"/>
      <c r="AJ12" s="160"/>
      <c r="AK12" s="160"/>
      <c r="AL12" s="160"/>
      <c r="AM12" s="160"/>
      <c r="AN12" s="160"/>
      <c r="AO12" s="160"/>
      <c r="AP12" s="160"/>
      <c r="AQ12" s="160"/>
    </row>
    <row r="13" spans="1:43" ht="15.95" customHeight="1">
      <c r="B13" s="567" t="s">
        <v>177</v>
      </c>
      <c r="C13" s="568" t="s">
        <v>729</v>
      </c>
      <c r="D13" s="568"/>
      <c r="E13" s="568"/>
      <c r="F13" s="568"/>
      <c r="G13" s="568"/>
      <c r="H13" s="578"/>
      <c r="L13" s="1260"/>
      <c r="AA13" s="159"/>
      <c r="AB13" s="160"/>
      <c r="AC13" s="160"/>
      <c r="AD13" s="160"/>
      <c r="AE13" s="160"/>
      <c r="AF13" s="160"/>
      <c r="AG13" s="160"/>
      <c r="AH13" s="160"/>
      <c r="AI13" s="160"/>
      <c r="AJ13" s="160"/>
      <c r="AK13" s="160"/>
      <c r="AL13" s="160"/>
      <c r="AM13" s="160"/>
      <c r="AN13" s="164" t="s">
        <v>158</v>
      </c>
      <c r="AO13" s="160"/>
      <c r="AP13" s="160"/>
      <c r="AQ13" s="160"/>
    </row>
    <row r="14" spans="1:43">
      <c r="B14" s="583">
        <f>IF(C14&lt;&gt;"",COUNTA($C$14:C14)-COUNTIF($C$14:C14,""),"")</f>
        <v>1</v>
      </c>
      <c r="C14" s="564" t="str">
        <f>IF(D8=1,"Chi phí lập dự án đầu tư xây dựng công trình","Chi phí lập báo cáo KTKT")</f>
        <v>Chi phí lập báo cáo KTKT</v>
      </c>
      <c r="D14" s="565">
        <f ca="1">IF(D8=1,IF(XDTT+TBTT&lt;=AC15,AC15,OFFSET(AC15,0,J14-1)),IF(XDTT+TBTT&lt;=AC25,AC25,OFFSET(AC25,0,L14-1)))</f>
        <v>3</v>
      </c>
      <c r="E14" s="565">
        <f ca="1">IF(D8=1,OFFSET(AC15,0,K14-1),OFFSET(AC25,0,K14-1))</f>
        <v>3</v>
      </c>
      <c r="F14" s="566">
        <f ca="1">IF(D8=1,IF(D14=E14,OFFSET(AC15,LCT,K14-1),OFFSET(AC15,LCT,J14-1)),IF(D14=E14,OFFSET(AC25,LCT,K14-1),OFFSET(AC25,LCT,J14-1)))</f>
        <v>3.6</v>
      </c>
      <c r="G14" s="566">
        <f ca="1">IF(D8=1,OFFSET(AC15,LCT,K14-1),OFFSET(AC25,LCT,K14-1))</f>
        <v>3.6</v>
      </c>
      <c r="H14" s="577">
        <f ca="1">IF(D8=2,ROUND(IF(D14=E14,OFFSET(AC25,LCT,K16-1),FORECAST(XDTT+TBTT,F14:G14,D14:E14)),3),ROUND(IF(D14=E14,OFFSET(AC15,LCT,K14-1),FORECAST(XDTT+TBTT,F14:G14,D14:E14)),3))</f>
        <v>3.6</v>
      </c>
      <c r="J14" s="157">
        <f>IF(XDTT+TBTT&gt;AN15,K14,K14+1)</f>
        <v>2</v>
      </c>
      <c r="K14" s="157">
        <f>IF(D8=1,IF(XDTT+TBTT&lt;=AC15,1,MATCH(XDTT+TBTT,AC15:AN15,1)),IF(XDTT+TBTT&lt;=AC25,1,MATCH(XDTT+TBTT,AC25:AE25,1)))</f>
        <v>1</v>
      </c>
      <c r="L14" s="157">
        <f>IF(XDTT+TBTT&gt;AE25,M14,M14+1)</f>
        <v>2</v>
      </c>
      <c r="M14" s="157">
        <f>IF(XDTT+TBTT&lt;=AC25,1,MATCH(XDTT+TBTT,AC25:AN25,1))</f>
        <v>1</v>
      </c>
      <c r="AA14" s="166" t="s">
        <v>9</v>
      </c>
      <c r="AB14" s="166" t="s">
        <v>160</v>
      </c>
      <c r="AC14" s="1387" t="s">
        <v>181</v>
      </c>
      <c r="AD14" s="1387"/>
      <c r="AE14" s="1387"/>
      <c r="AF14" s="1387"/>
      <c r="AG14" s="1387"/>
      <c r="AH14" s="1387"/>
      <c r="AI14" s="1387"/>
      <c r="AJ14" s="1387"/>
      <c r="AK14" s="1387"/>
      <c r="AL14" s="1387"/>
      <c r="AM14" s="1387"/>
      <c r="AN14" s="1387"/>
      <c r="AO14" s="160"/>
      <c r="AP14" s="160"/>
      <c r="AQ14" s="160"/>
    </row>
    <row r="15" spans="1:43">
      <c r="B15" s="583" t="str">
        <f>IF(C15&lt;&gt;"",COUNTA($C$14:C15)-COUNTIF($C$14:C15,""),"")</f>
        <v/>
      </c>
      <c r="C15" s="564" t="str">
        <f>IF(D8=1,"Chi phí thẩm tra tính hiệu quả dự án đầu tư","")</f>
        <v/>
      </c>
      <c r="D15" s="565">
        <f ca="1">IF(D8=1,IF(XDTT+TBTT&lt;=AC140,AC140,OFFSET(AC140,0,J15-1)),0)</f>
        <v>0</v>
      </c>
      <c r="E15" s="565">
        <f ca="1">IF(D8=1,OFFSET(AC140,0,K15-1),0)</f>
        <v>0</v>
      </c>
      <c r="F15" s="566">
        <f ca="1">IF(D8=1,IF(D15=E15,OFFSET(AC140,LCT,K15-1),OFFSET(AC140,LCT,J15-1)),0)</f>
        <v>0</v>
      </c>
      <c r="G15" s="566">
        <f ca="1">IF(D8=1,OFFSET(AC140,LCT,K15-1),0)</f>
        <v>0</v>
      </c>
      <c r="H15" s="577">
        <f ca="1">IF(AND(D8=1,XDTT+TBTT&gt;=15),ROUND(IF(D15=E15,OFFSET(AC140,LCT,K15-1),FORECAST(XDTT+TBTT,F15:G15,D15:E15)),3),0)</f>
        <v>0</v>
      </c>
      <c r="J15" s="157">
        <f>IF(XDTT+TBTT&gt;AN140,K15,K15+1)</f>
        <v>2</v>
      </c>
      <c r="K15" s="157">
        <f>IF(XDTT+TBTT&lt;=AC140,1,MATCH(XDTT+TBTT,AC140:AN140,1))</f>
        <v>1</v>
      </c>
      <c r="AA15" s="171"/>
      <c r="AB15" s="172"/>
      <c r="AC15" s="188">
        <v>15</v>
      </c>
      <c r="AD15" s="189">
        <v>20</v>
      </c>
      <c r="AE15" s="189">
        <v>50</v>
      </c>
      <c r="AF15" s="189">
        <v>100</v>
      </c>
      <c r="AG15" s="189">
        <v>200</v>
      </c>
      <c r="AH15" s="189">
        <v>500</v>
      </c>
      <c r="AI15" s="190">
        <v>1000</v>
      </c>
      <c r="AJ15" s="190">
        <v>2000</v>
      </c>
      <c r="AK15" s="190">
        <v>5000</v>
      </c>
      <c r="AL15" s="190">
        <v>10000</v>
      </c>
      <c r="AM15" s="190">
        <v>20000</v>
      </c>
      <c r="AN15" s="190">
        <v>30000</v>
      </c>
      <c r="AO15" s="160"/>
      <c r="AP15" s="160"/>
      <c r="AQ15" s="160"/>
    </row>
    <row r="16" spans="1:43" ht="15.95" customHeight="1" thickBot="1">
      <c r="B16" s="583" t="str">
        <f>IF(C16&lt;&gt;"",COUNTA($C$14:C16)-COUNTIF($C$14:C16,""),"")</f>
        <v/>
      </c>
      <c r="C16" s="569" t="str">
        <f>IF(D6=3,"Chi phí thiết kế kỹ thuật",IF(D6=2,"Chi phí thiết kế bản vẽ thi công",""))</f>
        <v/>
      </c>
      <c r="D16" s="565">
        <f ca="1">IF(D8=1,IF(E16=8000,E16,IF(XDTT&lt;=AC36,AC36,OFFSET(AC36,0,J16-1))),0)</f>
        <v>0</v>
      </c>
      <c r="E16" s="565">
        <f ca="1">IF(D8=1,OFFSET(AC36,0,K16-1),0)</f>
        <v>0</v>
      </c>
      <c r="F16" s="566">
        <f>IF(D8=1,IF(E16=8000,VLOOKUP(BTK,$M$19:$O$20,3,0),VLOOKUP(BTK,$M$19:$O$20,2,0)),0)</f>
        <v>0</v>
      </c>
      <c r="G16" s="566">
        <f>IF(D8=1,VLOOKUP(BTK,$M$19:$O$20,3,0),0)</f>
        <v>0</v>
      </c>
      <c r="H16" s="577">
        <f>IF(D8=1,ROUND(IF(D16=E16,G16,FORECAST(XDTT,F16:G16,D16:E16)),3),0)</f>
        <v>0</v>
      </c>
      <c r="J16" s="157">
        <f>IF(XDTT&gt;AM36,K16,K16+1)</f>
        <v>2</v>
      </c>
      <c r="K16" s="157">
        <f>IF(XDTT&lt;=AC36,1,MATCH(XDTT,AC36:AM36,1))</f>
        <v>1</v>
      </c>
      <c r="M16" s="157" t="s">
        <v>731</v>
      </c>
      <c r="V16" s="157" t="s">
        <v>730</v>
      </c>
      <c r="AA16" s="177">
        <v>1</v>
      </c>
      <c r="AB16" s="178" t="s">
        <v>10</v>
      </c>
      <c r="AC16" s="181">
        <v>0.65500000000000003</v>
      </c>
      <c r="AD16" s="181">
        <v>0.53800000000000003</v>
      </c>
      <c r="AE16" s="181">
        <v>0.442</v>
      </c>
      <c r="AF16" s="181">
        <v>0.314</v>
      </c>
      <c r="AG16" s="181">
        <v>0.23699999999999999</v>
      </c>
      <c r="AH16" s="181">
        <v>0.191</v>
      </c>
      <c r="AI16" s="181">
        <v>0.16400000000000001</v>
      </c>
      <c r="AJ16" s="181">
        <v>0.13900000000000001</v>
      </c>
      <c r="AK16" s="181">
        <v>0.111</v>
      </c>
      <c r="AL16" s="181">
        <v>8.8999999999999996E-2</v>
      </c>
      <c r="AM16" s="181">
        <v>7.0000000000000007E-2</v>
      </c>
      <c r="AN16" s="181">
        <v>5.7000000000000002E-2</v>
      </c>
      <c r="AO16" s="160"/>
      <c r="AP16" s="160"/>
      <c r="AQ16" s="160"/>
    </row>
    <row r="17" spans="2:43" ht="15.95" customHeight="1" thickTop="1">
      <c r="B17" s="583" t="str">
        <f>IF(C17&lt;&gt;"",COUNTA($C$14:C17)-COUNTIF($C$14:C17,""),"")</f>
        <v/>
      </c>
      <c r="C17" s="569" t="str">
        <f>IF(D6=3,"Chi phí thiết kế bản vẽ thi công","")</f>
        <v/>
      </c>
      <c r="D17" s="565"/>
      <c r="E17" s="565"/>
      <c r="F17" s="566"/>
      <c r="G17" s="566"/>
      <c r="H17" s="577">
        <f>IF(BTK=3,ROUND(IF(D5=2,H16*60%,H16*55%),3),0)</f>
        <v>0</v>
      </c>
      <c r="M17" s="191"/>
      <c r="N17" s="191"/>
      <c r="O17" s="544"/>
      <c r="P17" s="545" t="s">
        <v>183</v>
      </c>
      <c r="Q17" s="546" t="s">
        <v>184</v>
      </c>
      <c r="R17" s="546" t="s">
        <v>185</v>
      </c>
      <c r="S17" s="546" t="s">
        <v>186</v>
      </c>
      <c r="T17" s="547" t="s">
        <v>187</v>
      </c>
      <c r="U17" s="553"/>
      <c r="V17" s="545" t="s">
        <v>183</v>
      </c>
      <c r="W17" s="546" t="s">
        <v>184</v>
      </c>
      <c r="X17" s="546" t="s">
        <v>185</v>
      </c>
      <c r="Y17" s="546" t="s">
        <v>186</v>
      </c>
      <c r="Z17" s="575" t="s">
        <v>187</v>
      </c>
      <c r="AA17" s="177">
        <v>2</v>
      </c>
      <c r="AB17" s="178" t="s">
        <v>14</v>
      </c>
      <c r="AC17" s="181">
        <v>0.93400000000000005</v>
      </c>
      <c r="AD17" s="181">
        <v>0.79400000000000004</v>
      </c>
      <c r="AE17" s="181">
        <v>0.63</v>
      </c>
      <c r="AF17" s="181">
        <v>0.46700000000000003</v>
      </c>
      <c r="AG17" s="181">
        <v>0.36799999999999999</v>
      </c>
      <c r="AH17" s="181">
        <v>0.34499999999999997</v>
      </c>
      <c r="AI17" s="181">
        <v>0.29899999999999999</v>
      </c>
      <c r="AJ17" s="181">
        <v>0.24199999999999999</v>
      </c>
      <c r="AK17" s="181">
        <v>0.20699999999999999</v>
      </c>
      <c r="AL17" s="181">
        <v>0.14499999999999999</v>
      </c>
      <c r="AM17" s="181">
        <v>0.104</v>
      </c>
      <c r="AN17" s="181">
        <v>7.3999999999999996E-2</v>
      </c>
      <c r="AO17" s="160"/>
      <c r="AP17" s="160"/>
      <c r="AQ17" s="160"/>
    </row>
    <row r="18" spans="2:43" ht="15.95" customHeight="1">
      <c r="B18" s="583">
        <f>IF(C18&lt;&gt;"",COUNTA($C$14:C18)-COUNTIF($C$14:C18,""),"")</f>
        <v>2</v>
      </c>
      <c r="C18" s="569" t="s">
        <v>188</v>
      </c>
      <c r="D18" s="565">
        <f ca="1">IF(E18=8000,E18,IF(XDTT&lt;=AC152,AC152,OFFSET(AC152,0,J18-1)))</f>
        <v>10</v>
      </c>
      <c r="E18" s="565">
        <f ca="1">OFFSET(AC152,0,K18-1)</f>
        <v>10</v>
      </c>
      <c r="F18" s="566">
        <f ca="1">IF(E18=8000,OFFSET(AC152,LCT,K18-1),IF(D18=E18,G18,OFFSET(AC152,LCT,J18-1)))</f>
        <v>0.20599999999999999</v>
      </c>
      <c r="G18" s="566">
        <f ca="1">OFFSET(AC152,LCT,K18-1)</f>
        <v>0.20599999999999999</v>
      </c>
      <c r="H18" s="577">
        <f ca="1">IF(D18=E18,G18,ROUND(FORECAST(XDTT,F18:G18,D18:E18),3))</f>
        <v>0.20599999999999999</v>
      </c>
      <c r="J18" s="157">
        <f>IF(XDTT&gt;AL152,K18,K18+1)</f>
        <v>2</v>
      </c>
      <c r="K18" s="157">
        <f>IF(XDTT&lt;=AC152,1,MATCH(XDTT,AC152:AL152,1))</f>
        <v>1</v>
      </c>
      <c r="M18" s="191"/>
      <c r="N18" s="191"/>
      <c r="O18" s="544"/>
      <c r="P18" s="548">
        <v>1</v>
      </c>
      <c r="Q18" s="191">
        <v>2</v>
      </c>
      <c r="R18" s="191">
        <v>3</v>
      </c>
      <c r="S18" s="191">
        <v>4</v>
      </c>
      <c r="T18" s="549">
        <v>5</v>
      </c>
      <c r="U18" s="553"/>
      <c r="V18" s="548">
        <v>1</v>
      </c>
      <c r="W18" s="191">
        <v>2</v>
      </c>
      <c r="X18" s="191">
        <v>3</v>
      </c>
      <c r="Y18" s="191">
        <v>4</v>
      </c>
      <c r="Z18" s="544">
        <v>5</v>
      </c>
      <c r="AA18" s="177">
        <v>3</v>
      </c>
      <c r="AB18" s="178" t="s">
        <v>17</v>
      </c>
      <c r="AC18" s="181">
        <v>0.49199999999999999</v>
      </c>
      <c r="AD18" s="181">
        <v>0.44900000000000001</v>
      </c>
      <c r="AE18" s="181">
        <v>0.35799999999999998</v>
      </c>
      <c r="AF18" s="181">
        <v>0.28100000000000003</v>
      </c>
      <c r="AG18" s="181">
        <v>0.19400000000000001</v>
      </c>
      <c r="AH18" s="181">
        <v>0.15</v>
      </c>
      <c r="AI18" s="181">
        <v>0.13100000000000001</v>
      </c>
      <c r="AJ18" s="181">
        <v>0.112</v>
      </c>
      <c r="AK18" s="181">
        <v>8.8999999999999996E-2</v>
      </c>
      <c r="AL18" s="181">
        <v>7.1999999999999995E-2</v>
      </c>
      <c r="AM18" s="181">
        <v>5.8000000000000003E-2</v>
      </c>
      <c r="AN18" s="181">
        <v>4.7E-2</v>
      </c>
      <c r="AO18" s="160"/>
      <c r="AP18" s="160"/>
      <c r="AQ18" s="160"/>
    </row>
    <row r="19" spans="2:43" ht="15.95" customHeight="1">
      <c r="B19" s="583">
        <f>IF(C19&lt;&gt;"",COUNTA($C$14:C19)-COUNTIF($C$14:C19,""),"")</f>
        <v>3</v>
      </c>
      <c r="C19" s="569" t="s">
        <v>189</v>
      </c>
      <c r="D19" s="565">
        <f ca="1">IF(E19=8000,E19,IF(XDTT&lt;=AC163,AC163,OFFSET(AC163,0,J19-1)))</f>
        <v>10</v>
      </c>
      <c r="E19" s="565">
        <f ca="1">OFFSET(AC163,0,K19-1)</f>
        <v>10</v>
      </c>
      <c r="F19" s="566">
        <f ca="1">IF(E19=8000,OFFSET(AC163,LCT,K19-1),IF(D19=E19,G19,OFFSET(AC163,LCT,J19-1)))</f>
        <v>0.2</v>
      </c>
      <c r="G19" s="566">
        <f ca="1">OFFSET(AC163,LCT,K19-1)</f>
        <v>0.2</v>
      </c>
      <c r="H19" s="577">
        <f ca="1">IF(D19=E19,G19,ROUND(FORECAST(XDTT,F19:G19,D19:E19),3))</f>
        <v>0.2</v>
      </c>
      <c r="J19" s="157">
        <f>IF(XDTT&gt;AL163,K19,K19+1)</f>
        <v>2</v>
      </c>
      <c r="K19" s="157">
        <f>IF(XDTT&lt;=AC163,1,MATCH(XDTT,AC163:AL163,1))</f>
        <v>1</v>
      </c>
      <c r="M19" s="191">
        <v>3</v>
      </c>
      <c r="N19" s="191" t="e">
        <f ca="1">HLOOKUP(LCT,$P$18:$T$20,2)</f>
        <v>#N/A</v>
      </c>
      <c r="O19" s="544" t="e">
        <f ca="1">HLOOKUP(LCT,$P$18:$T$20,3)</f>
        <v>#N/A</v>
      </c>
      <c r="P19" s="548" t="e">
        <f ca="1">HLOOKUP($D$16,$AC$36:$AM$41,CCT+1)</f>
        <v>#N/A</v>
      </c>
      <c r="Q19" s="191" t="e">
        <f ca="1">HLOOKUP($D$16,$AC$57:$AM$62,CCT+1)</f>
        <v>#N/A</v>
      </c>
      <c r="R19" s="191" t="e">
        <f ca="1">HLOOKUP($D$16,$AC$78:$AM$83,CCT+1)</f>
        <v>#N/A</v>
      </c>
      <c r="S19" s="191" t="e">
        <f ca="1">HLOOKUP($D$16,$AC$99:$AM$104,CCT+1)</f>
        <v>#N/A</v>
      </c>
      <c r="T19" s="549" t="e">
        <f ca="1">HLOOKUP($D$16,$AC$120:$AM$125,CCT+1)</f>
        <v>#N/A</v>
      </c>
      <c r="U19" s="553"/>
      <c r="V19" s="548" t="e">
        <f ca="1">HLOOKUP($D$16,$AC$46:$AM$51,CCT+1)</f>
        <v>#N/A</v>
      </c>
      <c r="W19" s="191" t="e">
        <f ca="1">HLOOKUP($D$16,$AC$67:$AM$72,CCT+1)</f>
        <v>#N/A</v>
      </c>
      <c r="X19" s="191" t="e">
        <f ca="1">HLOOKUP($D$16,$AC$88:$AM$93,CCT+1)</f>
        <v>#N/A</v>
      </c>
      <c r="Y19" s="191" t="e">
        <f ca="1">HLOOKUP($D$16,$AC$109:$AM$114,CCT+1)</f>
        <v>#N/A</v>
      </c>
      <c r="Z19" s="544" t="e">
        <f ca="1">HLOOKUP($D$16,$AC$130:$AM$135,CCT+1)</f>
        <v>#N/A</v>
      </c>
      <c r="AA19" s="177">
        <v>4</v>
      </c>
      <c r="AB19" s="178" t="s">
        <v>19</v>
      </c>
      <c r="AC19" s="181">
        <v>0.58899999999999997</v>
      </c>
      <c r="AD19" s="181">
        <v>0.53600000000000003</v>
      </c>
      <c r="AE19" s="181">
        <v>0.42799999999999999</v>
      </c>
      <c r="AF19" s="181">
        <v>0.3</v>
      </c>
      <c r="AG19" s="181">
        <v>0.22600000000000001</v>
      </c>
      <c r="AH19" s="181">
        <v>0.182</v>
      </c>
      <c r="AI19" s="181">
        <v>0.156</v>
      </c>
      <c r="AJ19" s="181">
        <v>0.13400000000000001</v>
      </c>
      <c r="AK19" s="181">
        <v>0.107</v>
      </c>
      <c r="AL19" s="181">
        <v>8.5999999999999993E-2</v>
      </c>
      <c r="AM19" s="181">
        <v>6.9000000000000006E-2</v>
      </c>
      <c r="AN19" s="181">
        <v>5.6000000000000001E-2</v>
      </c>
      <c r="AO19" s="160"/>
      <c r="AP19" s="160"/>
      <c r="AQ19" s="160"/>
    </row>
    <row r="20" spans="2:43" ht="15.95" customHeight="1" thickBot="1">
      <c r="B20" s="583">
        <f>IF(C20&lt;&gt;"",COUNTA($C$14:C20)-COUNTIF($C$14:C20,""),"")</f>
        <v>4</v>
      </c>
      <c r="C20" s="569" t="s">
        <v>190</v>
      </c>
      <c r="D20" s="565">
        <f ca="1">IF(E20=8000,E20,IF(XDTT&lt;=AC173,AC173,OFFSET(AC173,0,J20-1)))</f>
        <v>10</v>
      </c>
      <c r="E20" s="565">
        <f ca="1">OFFSET(AC173,0,K20-1)</f>
        <v>10</v>
      </c>
      <c r="F20" s="566">
        <f ca="1">IF(E20=8000,OFFSET(AC173,LCT,K20-1),IF(D20=E20,G20,OFFSET(AC173,LCT,J20-1)))</f>
        <v>0.33700000000000002</v>
      </c>
      <c r="G20" s="566">
        <f ca="1">OFFSET(AC173,LCT,K20-1)</f>
        <v>0.33700000000000002</v>
      </c>
      <c r="H20" s="577">
        <f ca="1">IF(D20=E20,G20,ROUND(FORECAST(XDTT,F20:G20,D20:E20),3))</f>
        <v>0.33700000000000002</v>
      </c>
      <c r="J20" s="157">
        <f>IF(XDTT&gt;AL173,K20,K20+1)</f>
        <v>2</v>
      </c>
      <c r="K20" s="157">
        <f>IF(XDTT&lt;=AC173,1,MATCH(XDTT,AC173:AL173,1))</f>
        <v>1</v>
      </c>
      <c r="M20" s="191">
        <v>2</v>
      </c>
      <c r="N20" s="191" t="e">
        <f ca="1">HLOOKUP(LCT,$V$18:$Z$20,2)</f>
        <v>#N/A</v>
      </c>
      <c r="O20" s="544" t="e">
        <f ca="1">HLOOKUP(LCT,$V$18:$Z$20,3)</f>
        <v>#N/A</v>
      </c>
      <c r="P20" s="550" t="e">
        <f ca="1">HLOOKUP($E$16,$AC$36:$AM$41,CCT+1)</f>
        <v>#N/A</v>
      </c>
      <c r="Q20" s="551" t="e">
        <f ca="1">HLOOKUP($E$16,$AC$57:$AM$62,CCT+1)</f>
        <v>#N/A</v>
      </c>
      <c r="R20" s="551" t="e">
        <f ca="1">HLOOKUP($E$16,$AC$78:$AM$83,CCT+1)</f>
        <v>#N/A</v>
      </c>
      <c r="S20" s="551" t="e">
        <f ca="1">HLOOKUP($E$16,$AC$99:$AM$104,CCT+1)</f>
        <v>#N/A</v>
      </c>
      <c r="T20" s="552" t="e">
        <f ca="1">HLOOKUP($E$16,$AC$120:$AM$125,CCT+1)</f>
        <v>#N/A</v>
      </c>
      <c r="U20" s="553"/>
      <c r="V20" s="550" t="e">
        <f ca="1">HLOOKUP($E$16,$AC$46:$AM$51,CCT+1)</f>
        <v>#N/A</v>
      </c>
      <c r="W20" s="551" t="e">
        <f ca="1">HLOOKUP($E$16,$AC$67:$AM$72,CCT+1)</f>
        <v>#N/A</v>
      </c>
      <c r="X20" s="551" t="e">
        <f ca="1">HLOOKUP($E$16,$AC$88:$AM$93,CCT+1)</f>
        <v>#N/A</v>
      </c>
      <c r="Y20" s="551" t="e">
        <f ca="1">HLOOKUP($E$16,$AC$109:$AM$114,CCT+1)</f>
        <v>#N/A</v>
      </c>
      <c r="Z20" s="576" t="e">
        <f ca="1">HLOOKUP($E$16,$AC$130:$AM$135,CCT+1)</f>
        <v>#N/A</v>
      </c>
      <c r="AA20" s="177">
        <v>5</v>
      </c>
      <c r="AB20" s="178" t="s">
        <v>21</v>
      </c>
      <c r="AC20" s="181">
        <v>0.51400000000000001</v>
      </c>
      <c r="AD20" s="181">
        <v>0.46700000000000003</v>
      </c>
      <c r="AE20" s="181">
        <v>0.374</v>
      </c>
      <c r="AF20" s="181">
        <v>0.29099999999999998</v>
      </c>
      <c r="AG20" s="181">
        <v>0.2</v>
      </c>
      <c r="AH20" s="181">
        <v>0.156</v>
      </c>
      <c r="AI20" s="181">
        <v>0.13700000000000001</v>
      </c>
      <c r="AJ20" s="181">
        <v>0.11700000000000001</v>
      </c>
      <c r="AK20" s="181">
        <v>9.4E-2</v>
      </c>
      <c r="AL20" s="181">
        <v>7.4999999999999997E-2</v>
      </c>
      <c r="AM20" s="181">
        <v>0.06</v>
      </c>
      <c r="AN20" s="181">
        <v>4.8000000000000001E-2</v>
      </c>
      <c r="AO20" s="160"/>
      <c r="AP20" s="160"/>
      <c r="AQ20" s="160"/>
    </row>
    <row r="21" spans="2:43" ht="32.25" thickTop="1">
      <c r="B21" s="583">
        <f>IF(C21&lt;&gt;"",COUNTA($C$14:C21)-COUNTIF($C$14:C21,""),"")</f>
        <v>5</v>
      </c>
      <c r="C21" s="569" t="s">
        <v>191</v>
      </c>
      <c r="D21" s="565">
        <f ca="1">IF(E21=8000,E21,IF(TBTT&lt;=AC183,AC183,OFFSET(AC183,0,J21-1)))</f>
        <v>10</v>
      </c>
      <c r="E21" s="565">
        <f ca="1">OFFSET(AC183,0,K21-1)</f>
        <v>10</v>
      </c>
      <c r="F21" s="566">
        <f ca="1">IF(E21=8000,OFFSET(AC183,LCT,K21-1),IF(D21=E21,G21,OFFSET(AC183,LCT,J21-1)))</f>
        <v>0.28699999999999998</v>
      </c>
      <c r="G21" s="566">
        <f ca="1">OFFSET(AC183,LCT,K21-1)</f>
        <v>0.28699999999999998</v>
      </c>
      <c r="H21" s="577">
        <f>IF(D3=0,0,ROUND(IF(D21=E21,G21,FORECAST(TBTT,F21:G21,D21:E21)),3))</f>
        <v>0</v>
      </c>
      <c r="J21" s="157">
        <f>IF(TBTT&gt;AL183,K21,K21+1)</f>
        <v>2</v>
      </c>
      <c r="K21" s="157">
        <f>IF(TBTT&lt;=AC183,1,MATCH(TBTT,AC183:AL183,1))</f>
        <v>1</v>
      </c>
      <c r="AA21" s="160"/>
      <c r="AB21" s="160"/>
      <c r="AC21" s="160"/>
      <c r="AD21" s="160"/>
      <c r="AE21" s="160"/>
      <c r="AF21" s="160"/>
      <c r="AG21" s="160"/>
      <c r="AH21" s="160"/>
      <c r="AI21" s="160"/>
      <c r="AJ21" s="160"/>
      <c r="AK21" s="160"/>
      <c r="AL21" s="160"/>
      <c r="AM21" s="160"/>
      <c r="AN21" s="160"/>
      <c r="AO21" s="160"/>
      <c r="AP21" s="160"/>
      <c r="AQ21" s="160"/>
    </row>
    <row r="22" spans="2:43" ht="31.5">
      <c r="B22" s="583">
        <f>IF(C22&lt;&gt;"",COUNTA($C$14:C22)-COUNTIF($C$14:C22,""),"")</f>
        <v>6</v>
      </c>
      <c r="C22" s="569" t="s">
        <v>94</v>
      </c>
      <c r="D22" s="565">
        <f ca="1">IF(E22=8000,E22,IF(XDTT&lt;=AC193,AC193,OFFSET(AC193,0,J22-1)))</f>
        <v>10</v>
      </c>
      <c r="E22" s="565">
        <f ca="1">OFFSET(AC193,0,K22-1)</f>
        <v>10</v>
      </c>
      <c r="F22" s="566">
        <f ca="1">IF(E22=8000,OFFSET(AC193,LCT,K22-1),IF(D22=E22,G22,OFFSET(AC193,LCT,J22-1)))</f>
        <v>2.6280000000000001</v>
      </c>
      <c r="G22" s="566">
        <f ca="1">OFFSET(AC193,LCT,K22-1)</f>
        <v>2.6280000000000001</v>
      </c>
      <c r="H22" s="577">
        <f ca="1">IF(D22=E22,G22,ROUND(FORECAST(XDTT,F22:G22,D22:E22),3))</f>
        <v>2.6280000000000001</v>
      </c>
      <c r="J22" s="157">
        <f>IF(XDTT&gt;AL193,K22,K22+1)</f>
        <v>2</v>
      </c>
      <c r="K22" s="157">
        <f>IF(XDTT&lt;=AC193,1,MATCH(XDTT,AC193:AL193,1))</f>
        <v>1</v>
      </c>
      <c r="AA22" s="159" t="s">
        <v>192</v>
      </c>
      <c r="AB22" s="160"/>
      <c r="AC22" s="160"/>
      <c r="AD22" s="160"/>
      <c r="AE22" s="160"/>
      <c r="AF22" s="160"/>
      <c r="AG22" s="160"/>
      <c r="AH22" s="160"/>
      <c r="AI22" s="160"/>
      <c r="AJ22" s="160"/>
      <c r="AK22" s="160"/>
      <c r="AL22" s="160"/>
      <c r="AM22" s="160"/>
      <c r="AN22" s="160"/>
      <c r="AO22" s="160"/>
      <c r="AP22" s="160"/>
      <c r="AQ22" s="160"/>
    </row>
    <row r="23" spans="2:43" ht="31.5">
      <c r="B23" s="583">
        <f>IF(C23&lt;&gt;"",COUNTA($C$14:C23)-COUNTIF($C$14:C23,""),"")</f>
        <v>7</v>
      </c>
      <c r="C23" s="569" t="s">
        <v>95</v>
      </c>
      <c r="D23" s="565">
        <f ca="1">IF(E23=8000,E23,IF(TBTT&lt;=AC203,AC203,OFFSET(AC203,0,J23-1)))</f>
        <v>10</v>
      </c>
      <c r="E23" s="565">
        <f ca="1">OFFSET(AC203,0,K23-1)</f>
        <v>10</v>
      </c>
      <c r="F23" s="566">
        <f ca="1">IF(E23=8000,OFFSET(AC203,LCT,K23-1),IF(D23=E23,G23,OFFSET(AC203,LCT,J23-1)))</f>
        <v>0.67500000000000004</v>
      </c>
      <c r="G23" s="566">
        <f ca="1">OFFSET(AC203,LCT,K23-1)</f>
        <v>0.67500000000000004</v>
      </c>
      <c r="H23" s="577">
        <f>IF(D3=0,0,IF(D23=E23,G23,ROUND(FORECAST(TBTT,F23:G23,D23:E23),3)))</f>
        <v>0</v>
      </c>
      <c r="J23" s="157">
        <f>IF(TBTT&gt;AL203,K23,K23+1)</f>
        <v>2</v>
      </c>
      <c r="K23" s="157">
        <f>IF(TBTT&lt;=AC203,1,MATCH(TBTT,AC203:AL203,1))</f>
        <v>1</v>
      </c>
      <c r="AB23" s="160"/>
      <c r="AC23" s="160"/>
      <c r="AD23" s="160"/>
      <c r="AE23" s="164" t="s">
        <v>158</v>
      </c>
      <c r="AF23" s="160"/>
      <c r="AG23" s="160"/>
      <c r="AH23" s="160"/>
      <c r="AI23" s="160"/>
      <c r="AJ23" s="160"/>
      <c r="AK23" s="160"/>
      <c r="AL23" s="160"/>
      <c r="AM23" s="160"/>
      <c r="AN23" s="160"/>
      <c r="AO23" s="160"/>
      <c r="AP23" s="160"/>
      <c r="AQ23" s="160"/>
    </row>
    <row r="24" spans="2:43" ht="15.95" customHeight="1">
      <c r="B24" s="567" t="s">
        <v>182</v>
      </c>
      <c r="C24" s="568" t="s">
        <v>902</v>
      </c>
      <c r="D24" s="568"/>
      <c r="E24" s="568"/>
      <c r="F24" s="568"/>
      <c r="G24" s="568"/>
      <c r="H24" s="578"/>
      <c r="J24" s="193" t="str">
        <f>IF(LCT=1,"V",IF(LCT=2,"I",IF(LCT=3,"IV",IF(LCT=4,"III","II"))))</f>
        <v>V</v>
      </c>
      <c r="K24" s="157">
        <f>IF(LCT=1,5,IF(LCT=2,1,IF(LCT=3,4,IF(LCT=4,3,2))))</f>
        <v>5</v>
      </c>
      <c r="AA24" s="166" t="s">
        <v>9</v>
      </c>
      <c r="AB24" s="166" t="s">
        <v>160</v>
      </c>
      <c r="AC24" s="178" t="s">
        <v>193</v>
      </c>
      <c r="AD24" s="192"/>
      <c r="AE24" s="192"/>
      <c r="AF24" s="160"/>
      <c r="AG24" s="160"/>
      <c r="AH24" s="160"/>
      <c r="AI24" s="160"/>
      <c r="AJ24" s="160"/>
      <c r="AK24" s="160"/>
      <c r="AL24" s="160"/>
      <c r="AM24" s="160"/>
      <c r="AN24" s="160"/>
      <c r="AO24" s="160"/>
      <c r="AP24" s="160"/>
      <c r="AQ24" s="160"/>
    </row>
    <row r="25" spans="2:43" ht="15.95" customHeight="1">
      <c r="B25" s="563">
        <v>1</v>
      </c>
      <c r="C25" s="569" t="s">
        <v>196</v>
      </c>
      <c r="D25" s="570">
        <f ca="1">IF(XDTT&lt;=AC226,AC226,OFFSET(AC226,0,J25-1))</f>
        <v>0.5</v>
      </c>
      <c r="E25" s="570">
        <f ca="1">OFFSET(AC226,0,K25-1)</f>
        <v>0.5</v>
      </c>
      <c r="F25" s="566">
        <f ca="1">IF(D25=E25,OFFSET(AC226,$K$24,K25-1),OFFSET(AC226,$K$24,J25-1))</f>
        <v>9.6000000000000002E-2</v>
      </c>
      <c r="G25" s="566">
        <f ca="1">OFFSET(AC226,$K$24,K25-1)</f>
        <v>9.6000000000000002E-2</v>
      </c>
      <c r="H25" s="577">
        <f ca="1">IF(D25=E25,G25,ROUND(FORECAST(XDTT,F25:G25,D25:E25),3))</f>
        <v>9.6000000000000002E-2</v>
      </c>
      <c r="J25" s="157">
        <f>IF(XDTT&gt;AM226,K25,K25+1)</f>
        <v>2</v>
      </c>
      <c r="K25" s="157">
        <f>IF(XDTT&lt;=AC226,1,MATCH(XDTT,AC226:AM226,1))</f>
        <v>1</v>
      </c>
      <c r="AA25" s="171"/>
      <c r="AB25" s="172"/>
      <c r="AC25" s="180">
        <v>3</v>
      </c>
      <c r="AD25" s="189">
        <v>7</v>
      </c>
      <c r="AE25" s="180">
        <v>15</v>
      </c>
      <c r="AF25" s="160"/>
      <c r="AG25" s="160"/>
      <c r="AH25" s="160"/>
      <c r="AI25" s="160"/>
      <c r="AJ25" s="160"/>
      <c r="AK25" s="160"/>
      <c r="AL25" s="160"/>
      <c r="AM25" s="160"/>
      <c r="AN25" s="160"/>
      <c r="AO25" s="160"/>
      <c r="AP25" s="160"/>
      <c r="AQ25" s="160"/>
    </row>
    <row r="26" spans="2:43" ht="15.95" customHeight="1">
      <c r="B26" s="563">
        <v>2</v>
      </c>
      <c r="C26" s="569" t="s">
        <v>197</v>
      </c>
      <c r="D26" s="570">
        <f ca="1">IF(XDTT&lt;=AC232,AC232,OFFSET(AC232,0,J26-1))</f>
        <v>0.5</v>
      </c>
      <c r="E26" s="570">
        <f ca="1">OFFSET(AC232,0,K26-1)</f>
        <v>0.5</v>
      </c>
      <c r="F26" s="566">
        <f ca="1">IF(D26=E26,OFFSET(AC232,$K$24,K26-1),OFFSET(AC232,$K$24,J26-1))</f>
        <v>7.1999999999999995E-2</v>
      </c>
      <c r="G26" s="566">
        <f ca="1">OFFSET(AC232,$K$24,K26-1)</f>
        <v>7.1999999999999995E-2</v>
      </c>
      <c r="H26" s="577">
        <f ca="1">IF(D26=E26,G26,ROUND(FORECAST(XDTT,F26:G26,D26:E26),3))</f>
        <v>7.1999999999999995E-2</v>
      </c>
      <c r="J26" s="157">
        <f>IF(XDTT&gt;AM232,K26,K26+1)</f>
        <v>2</v>
      </c>
      <c r="K26" s="157">
        <f>IF(XDTT&lt;=AC232,1,MATCH(XDTT,AC232:AM232,1))</f>
        <v>1</v>
      </c>
      <c r="AA26" s="177">
        <v>1</v>
      </c>
      <c r="AB26" s="178" t="s">
        <v>10</v>
      </c>
      <c r="AC26" s="180">
        <v>3.6</v>
      </c>
      <c r="AD26" s="180">
        <v>3.2</v>
      </c>
      <c r="AE26" s="180">
        <v>2.8</v>
      </c>
      <c r="AF26" s="160"/>
      <c r="AG26" s="160"/>
      <c r="AH26" s="160"/>
      <c r="AI26" s="160"/>
      <c r="AJ26" s="160"/>
      <c r="AK26" s="160"/>
      <c r="AL26" s="160"/>
      <c r="AM26" s="160"/>
      <c r="AN26" s="160"/>
      <c r="AO26" s="160"/>
      <c r="AP26" s="160"/>
      <c r="AQ26" s="160"/>
    </row>
    <row r="27" spans="2:43" ht="15.95" customHeight="1">
      <c r="B27" s="563">
        <v>3</v>
      </c>
      <c r="C27" s="569" t="s">
        <v>883</v>
      </c>
      <c r="D27" s="565">
        <f ca="1">IF(TMDT&lt;=AC247,AC247,OFFSET(AC247,0,J27-1))</f>
        <v>15</v>
      </c>
      <c r="E27" s="565">
        <f ca="1">OFFSET(AC247,0,K27-1)</f>
        <v>15</v>
      </c>
      <c r="F27" s="566">
        <f ca="1">IF(D27=E27,OFFSET(AC247,1,K27-1),OFFSET(AC247,1,J27-1))</f>
        <v>1.9E-2</v>
      </c>
      <c r="G27" s="566">
        <f ca="1">OFFSET(AC247,1,K27-1)</f>
        <v>1.9E-2</v>
      </c>
      <c r="H27" s="577">
        <f ca="1">IF(D27=E27,G27,ROUND(FORECAST(TMDT,F27:G27,D27:E27),4))</f>
        <v>1.9E-2</v>
      </c>
      <c r="J27" s="157">
        <f>IF(TMDT&gt;AL247,K27,K27+1)</f>
        <v>2</v>
      </c>
      <c r="K27" s="157">
        <f>IF(TMDT&lt;=AC247,1,MATCH(TMDT,AC247:AL247,1))</f>
        <v>1</v>
      </c>
      <c r="AA27" s="177">
        <v>2</v>
      </c>
      <c r="AB27" s="178" t="s">
        <v>14</v>
      </c>
      <c r="AC27" s="180">
        <v>3.7</v>
      </c>
      <c r="AD27" s="180">
        <v>3.3</v>
      </c>
      <c r="AE27" s="180">
        <v>2.9</v>
      </c>
      <c r="AF27" s="160"/>
      <c r="AG27" s="160"/>
      <c r="AH27" s="160"/>
      <c r="AI27" s="160"/>
      <c r="AJ27" s="160"/>
      <c r="AK27" s="160"/>
      <c r="AL27" s="160"/>
      <c r="AM27" s="160"/>
      <c r="AN27" s="160"/>
      <c r="AO27" s="160"/>
      <c r="AP27" s="160"/>
      <c r="AQ27" s="160"/>
    </row>
    <row r="28" spans="2:43" ht="15.95" customHeight="1">
      <c r="B28" s="563">
        <v>4</v>
      </c>
      <c r="C28" s="569" t="s">
        <v>117</v>
      </c>
      <c r="D28" s="565">
        <f ca="1">IF(TMDT&lt;=AC212,AC212,OFFSET(AC212,0,J28-1))</f>
        <v>5</v>
      </c>
      <c r="E28" s="565">
        <f ca="1">OFFSET(AC212,0,K28-1)</f>
        <v>5</v>
      </c>
      <c r="F28" s="566">
        <f ca="1">IF(D28=E28,OFFSET(AC212,2,K28-1),OFFSET(AC212,2,J28-1))</f>
        <v>0.64</v>
      </c>
      <c r="G28" s="566">
        <f ca="1">OFFSET(AC212,2,K28-1)</f>
        <v>0.64</v>
      </c>
      <c r="H28" s="577">
        <f ca="1">IF(D28=E28,G28,ROUND(FORECAST(TMDT,F28:G28,D28:E28),3))</f>
        <v>0.64</v>
      </c>
      <c r="J28" s="157">
        <f>IF(TMDT&gt;AJ212,K28,K28+1)</f>
        <v>2</v>
      </c>
      <c r="K28" s="157">
        <f>IF(TMDT&lt;=AC212,1,MATCH(TMDT,AC212:AJ212,1))</f>
        <v>1</v>
      </c>
      <c r="AA28" s="177">
        <v>3</v>
      </c>
      <c r="AB28" s="178" t="s">
        <v>17</v>
      </c>
      <c r="AC28" s="180">
        <v>2.8</v>
      </c>
      <c r="AD28" s="180">
        <v>2.1</v>
      </c>
      <c r="AE28" s="180">
        <v>1.9</v>
      </c>
      <c r="AF28" s="160"/>
      <c r="AG28" s="160"/>
      <c r="AH28" s="160"/>
      <c r="AI28" s="160"/>
      <c r="AJ28" s="160"/>
      <c r="AK28" s="160"/>
      <c r="AL28" s="160"/>
      <c r="AM28" s="160"/>
      <c r="AN28" s="160"/>
      <c r="AO28" s="160"/>
      <c r="AP28" s="160"/>
      <c r="AQ28" s="160"/>
    </row>
    <row r="29" spans="2:43" ht="15.95" customHeight="1">
      <c r="B29" s="571">
        <v>5</v>
      </c>
      <c r="C29" s="572" t="s">
        <v>198</v>
      </c>
      <c r="D29" s="573">
        <f ca="1">IF(TMDT&lt;=AC212,AC212,OFFSET(AC212,0,J29-1))</f>
        <v>5</v>
      </c>
      <c r="E29" s="573">
        <f ca="1">OFFSET(AC212,0,K29-1)</f>
        <v>5</v>
      </c>
      <c r="F29" s="574">
        <f ca="1">IF(D29=E29,OFFSET(AC212,1,K29-1),OFFSET(AC212,1,J29-1))</f>
        <v>0.38</v>
      </c>
      <c r="G29" s="574">
        <f ca="1">OFFSET(AC212,1,K29-1)</f>
        <v>0.38</v>
      </c>
      <c r="H29" s="579">
        <f ca="1">IF(D29=E29,G29,ROUND(FORECAST(TMDT,F29:G29,D29:E29),3))</f>
        <v>0.38</v>
      </c>
      <c r="J29" s="157">
        <f>IF(TMDT&gt;AJ212,K29,K29+1)</f>
        <v>2</v>
      </c>
      <c r="K29" s="157">
        <f>IF(TMDT&lt;=AC212,1,MATCH(TMDT,AC212:AJ212,1))</f>
        <v>1</v>
      </c>
      <c r="AA29" s="177">
        <v>4</v>
      </c>
      <c r="AB29" s="178" t="s">
        <v>166</v>
      </c>
      <c r="AC29" s="180">
        <v>3.4</v>
      </c>
      <c r="AD29" s="180">
        <v>3</v>
      </c>
      <c r="AE29" s="180">
        <v>2.8</v>
      </c>
      <c r="AF29" s="160"/>
      <c r="AG29" s="160"/>
      <c r="AH29" s="160"/>
      <c r="AI29" s="160"/>
      <c r="AJ29" s="160"/>
      <c r="AK29" s="160"/>
      <c r="AL29" s="160"/>
      <c r="AM29" s="160"/>
      <c r="AN29" s="160"/>
      <c r="AO29" s="160"/>
      <c r="AP29" s="160"/>
      <c r="AQ29" s="160"/>
    </row>
    <row r="30" spans="2:43">
      <c r="B30" s="161"/>
      <c r="C30" s="163"/>
      <c r="D30" s="163"/>
      <c r="E30" s="163"/>
      <c r="F30" s="163"/>
      <c r="G30" s="163"/>
      <c r="H30" s="163"/>
      <c r="AA30" s="177">
        <v>5</v>
      </c>
      <c r="AB30" s="178" t="s">
        <v>21</v>
      </c>
      <c r="AC30" s="180">
        <v>3.2</v>
      </c>
      <c r="AD30" s="180">
        <v>2.6</v>
      </c>
      <c r="AE30" s="180">
        <v>2.2999999999999998</v>
      </c>
      <c r="AF30" s="160"/>
      <c r="AG30" s="160"/>
      <c r="AH30" s="160"/>
      <c r="AI30" s="160"/>
      <c r="AJ30" s="160"/>
      <c r="AK30" s="160"/>
      <c r="AL30" s="160"/>
      <c r="AM30" s="160"/>
      <c r="AN30" s="160"/>
      <c r="AO30" s="160"/>
      <c r="AP30" s="160"/>
      <c r="AQ30" s="160"/>
    </row>
    <row r="31" spans="2:43">
      <c r="AA31" s="160"/>
      <c r="AB31" s="160"/>
      <c r="AC31" s="160"/>
      <c r="AD31" s="160"/>
      <c r="AE31" s="160"/>
      <c r="AF31" s="160"/>
      <c r="AG31" s="160"/>
      <c r="AH31" s="160"/>
      <c r="AI31" s="160"/>
      <c r="AJ31" s="160"/>
      <c r="AK31" s="160"/>
      <c r="AL31" s="160"/>
      <c r="AM31" s="160"/>
      <c r="AN31" s="160"/>
      <c r="AO31" s="160"/>
      <c r="AP31" s="160"/>
      <c r="AQ31" s="160"/>
    </row>
    <row r="32" spans="2:43" ht="15.75" customHeight="1">
      <c r="AA32" s="159" t="s">
        <v>199</v>
      </c>
      <c r="AB32" s="160"/>
      <c r="AC32" s="160"/>
      <c r="AD32" s="160"/>
      <c r="AE32" s="160"/>
      <c r="AF32" s="160"/>
      <c r="AG32" s="160"/>
      <c r="AH32" s="160"/>
      <c r="AI32" s="160"/>
      <c r="AJ32" s="160"/>
      <c r="AK32" s="160"/>
      <c r="AL32" s="160"/>
      <c r="AM32" s="160"/>
      <c r="AN32" s="160"/>
      <c r="AO32" s="160"/>
      <c r="AP32" s="160"/>
      <c r="AQ32" s="160"/>
    </row>
    <row r="33" spans="3:43" ht="15.75" customHeight="1">
      <c r="C33" s="195"/>
      <c r="AA33" s="159" t="s">
        <v>200</v>
      </c>
      <c r="AB33" s="160"/>
      <c r="AC33" s="160"/>
      <c r="AD33" s="160"/>
      <c r="AE33" s="160"/>
      <c r="AF33" s="160"/>
      <c r="AG33" s="160"/>
      <c r="AH33" s="160"/>
      <c r="AI33" s="160"/>
      <c r="AJ33" s="160"/>
      <c r="AK33" s="160"/>
      <c r="AL33" s="160"/>
      <c r="AM33" s="160"/>
      <c r="AN33" s="160"/>
      <c r="AO33" s="160"/>
      <c r="AP33" s="160"/>
      <c r="AQ33" s="160"/>
    </row>
    <row r="34" spans="3:43" ht="15.75" customHeight="1">
      <c r="C34" s="195"/>
      <c r="M34" s="157" t="s">
        <v>907</v>
      </c>
      <c r="N34" s="157">
        <f>D4/10^9</f>
        <v>0</v>
      </c>
      <c r="AA34" s="159"/>
      <c r="AB34" s="160"/>
      <c r="AC34" s="160"/>
      <c r="AD34" s="160"/>
      <c r="AE34" s="160"/>
      <c r="AF34" s="160"/>
      <c r="AG34" s="160"/>
      <c r="AH34" s="160"/>
      <c r="AI34" s="160"/>
      <c r="AJ34" s="160"/>
      <c r="AK34" s="160"/>
      <c r="AL34" s="160"/>
      <c r="AM34" s="164" t="s">
        <v>158</v>
      </c>
      <c r="AN34" s="160"/>
      <c r="AO34" s="160"/>
      <c r="AP34" s="160"/>
      <c r="AQ34" s="160"/>
    </row>
    <row r="35" spans="3:43">
      <c r="C35" s="195"/>
      <c r="M35" s="196" t="s">
        <v>201</v>
      </c>
      <c r="N35" s="196">
        <f>D2/10^9</f>
        <v>9.9641881002357685E-2</v>
      </c>
      <c r="AA35" s="166" t="s">
        <v>9</v>
      </c>
      <c r="AB35" s="197" t="s">
        <v>202</v>
      </c>
      <c r="AC35" s="198" t="s">
        <v>203</v>
      </c>
      <c r="AD35" s="199"/>
      <c r="AE35" s="199"/>
      <c r="AF35" s="199"/>
      <c r="AG35" s="199"/>
      <c r="AH35" s="199"/>
      <c r="AI35" s="199"/>
      <c r="AJ35" s="199"/>
      <c r="AK35" s="199"/>
      <c r="AL35" s="199"/>
      <c r="AM35" s="200"/>
      <c r="AN35" s="160"/>
      <c r="AO35" s="160"/>
      <c r="AP35" s="160"/>
      <c r="AQ35" s="160"/>
    </row>
    <row r="36" spans="3:43">
      <c r="C36" s="195"/>
      <c r="M36" s="196" t="s">
        <v>204</v>
      </c>
      <c r="N36" s="196">
        <f>D3/10^9</f>
        <v>0</v>
      </c>
      <c r="AA36" s="171"/>
      <c r="AB36" s="201"/>
      <c r="AC36" s="173">
        <v>7</v>
      </c>
      <c r="AD36" s="189">
        <v>10</v>
      </c>
      <c r="AE36" s="189">
        <v>20</v>
      </c>
      <c r="AF36" s="189">
        <v>50</v>
      </c>
      <c r="AG36" s="189">
        <v>100</v>
      </c>
      <c r="AH36" s="189">
        <v>200</v>
      </c>
      <c r="AI36" s="189">
        <v>500</v>
      </c>
      <c r="AJ36" s="190">
        <v>1000</v>
      </c>
      <c r="AK36" s="190">
        <v>2000</v>
      </c>
      <c r="AL36" s="190">
        <v>5000</v>
      </c>
      <c r="AM36" s="190">
        <v>8000</v>
      </c>
      <c r="AN36" s="160"/>
      <c r="AO36" s="160"/>
      <c r="AP36" s="160"/>
      <c r="AQ36" s="160"/>
    </row>
    <row r="37" spans="3:43">
      <c r="C37" s="195"/>
      <c r="M37" s="196" t="s">
        <v>726</v>
      </c>
      <c r="N37" s="196"/>
      <c r="AA37" s="202">
        <v>1</v>
      </c>
      <c r="AB37" s="178" t="s">
        <v>206</v>
      </c>
      <c r="AC37" s="203">
        <v>2.74</v>
      </c>
      <c r="AD37" s="204">
        <v>2.74</v>
      </c>
      <c r="AE37" s="204">
        <v>2.38</v>
      </c>
      <c r="AF37" s="204">
        <v>2</v>
      </c>
      <c r="AG37" s="204">
        <v>1.82</v>
      </c>
      <c r="AH37" s="204">
        <v>1.66</v>
      </c>
      <c r="AI37" s="204">
        <v>1.4</v>
      </c>
      <c r="AJ37" s="204">
        <v>1.1299999999999999</v>
      </c>
      <c r="AK37" s="204">
        <v>0.97</v>
      </c>
      <c r="AL37" s="204">
        <v>0.75</v>
      </c>
      <c r="AM37" s="204">
        <v>0.57999999999999996</v>
      </c>
      <c r="AN37" s="160"/>
      <c r="AO37" s="160"/>
      <c r="AP37" s="160"/>
      <c r="AQ37" s="160"/>
    </row>
    <row r="38" spans="3:43">
      <c r="C38" s="195"/>
      <c r="M38" s="196" t="s">
        <v>207</v>
      </c>
      <c r="N38" s="196"/>
      <c r="AA38" s="202">
        <v>2</v>
      </c>
      <c r="AB38" s="178" t="s">
        <v>208</v>
      </c>
      <c r="AC38" s="203">
        <v>2.48</v>
      </c>
      <c r="AD38" s="204">
        <v>2.48</v>
      </c>
      <c r="AE38" s="204">
        <v>2.17</v>
      </c>
      <c r="AF38" s="204">
        <v>1.82</v>
      </c>
      <c r="AG38" s="204">
        <v>1.64</v>
      </c>
      <c r="AH38" s="204">
        <v>1.51</v>
      </c>
      <c r="AI38" s="204">
        <v>1.27</v>
      </c>
      <c r="AJ38" s="204">
        <v>1.03</v>
      </c>
      <c r="AK38" s="204">
        <v>0.89</v>
      </c>
      <c r="AL38" s="204">
        <v>0.68</v>
      </c>
      <c r="AM38" s="204">
        <v>0.53</v>
      </c>
      <c r="AN38" s="160"/>
      <c r="AO38" s="160"/>
      <c r="AP38" s="160"/>
      <c r="AQ38" s="160"/>
    </row>
    <row r="39" spans="3:43">
      <c r="M39" s="196" t="s">
        <v>205</v>
      </c>
      <c r="N39" s="196"/>
      <c r="AA39" s="202">
        <v>3</v>
      </c>
      <c r="AB39" s="178" t="s">
        <v>209</v>
      </c>
      <c r="AC39" s="204">
        <v>2.36</v>
      </c>
      <c r="AD39" s="204">
        <v>2.25</v>
      </c>
      <c r="AE39" s="204">
        <v>1.96</v>
      </c>
      <c r="AF39" s="204">
        <v>1.66</v>
      </c>
      <c r="AG39" s="204">
        <v>1.51</v>
      </c>
      <c r="AH39" s="204">
        <v>1.37</v>
      </c>
      <c r="AI39" s="204">
        <v>1.1599999999999999</v>
      </c>
      <c r="AJ39" s="204">
        <v>0.95</v>
      </c>
      <c r="AK39" s="204">
        <v>0.8</v>
      </c>
      <c r="AL39" s="204">
        <v>0.62</v>
      </c>
      <c r="AM39" s="204">
        <v>0.47</v>
      </c>
      <c r="AN39" s="160"/>
      <c r="AO39" s="160"/>
      <c r="AP39" s="160"/>
      <c r="AQ39" s="160"/>
    </row>
    <row r="40" spans="3:43">
      <c r="M40" s="205" t="s">
        <v>160</v>
      </c>
      <c r="N40" s="196"/>
      <c r="AA40" s="202">
        <v>4</v>
      </c>
      <c r="AB40" s="178" t="s">
        <v>211</v>
      </c>
      <c r="AC40" s="204">
        <v>2.12</v>
      </c>
      <c r="AD40" s="204">
        <v>2.0299999999999998</v>
      </c>
      <c r="AE40" s="204">
        <v>1.76</v>
      </c>
      <c r="AF40" s="204">
        <v>1.48</v>
      </c>
      <c r="AG40" s="204">
        <v>1.34</v>
      </c>
      <c r="AH40" s="204">
        <v>1.23</v>
      </c>
      <c r="AI40" s="204">
        <v>1.04</v>
      </c>
      <c r="AJ40" s="204">
        <v>0.85</v>
      </c>
      <c r="AK40" s="204">
        <v>0.72</v>
      </c>
      <c r="AL40" s="204">
        <v>0.55000000000000004</v>
      </c>
      <c r="AM40" s="204">
        <v>0.42</v>
      </c>
      <c r="AN40" s="160"/>
      <c r="AO40" s="160"/>
      <c r="AP40" s="160"/>
      <c r="AQ40" s="160"/>
    </row>
    <row r="41" spans="3:43">
      <c r="M41" s="205" t="s">
        <v>210</v>
      </c>
      <c r="N41" s="196"/>
      <c r="AA41" s="202">
        <v>5</v>
      </c>
      <c r="AB41" s="178" t="s">
        <v>212</v>
      </c>
      <c r="AC41" s="204">
        <v>1.88</v>
      </c>
      <c r="AD41" s="204">
        <v>1.8</v>
      </c>
      <c r="AE41" s="204">
        <v>1.57</v>
      </c>
      <c r="AF41" s="204">
        <v>1.23</v>
      </c>
      <c r="AG41" s="204">
        <v>1.04</v>
      </c>
      <c r="AH41" s="204">
        <v>0.88</v>
      </c>
      <c r="AI41" s="204">
        <v>0.75</v>
      </c>
      <c r="AJ41" s="204">
        <v>0.61</v>
      </c>
      <c r="AK41" s="203">
        <v>0.61</v>
      </c>
      <c r="AL41" s="203">
        <v>0.61</v>
      </c>
      <c r="AM41" s="203">
        <v>0.61</v>
      </c>
      <c r="AN41" s="160"/>
      <c r="AO41" s="160"/>
      <c r="AP41" s="160"/>
      <c r="AQ41" s="160"/>
    </row>
    <row r="42" spans="3:43">
      <c r="C42" s="195"/>
      <c r="M42" s="205" t="s">
        <v>202</v>
      </c>
      <c r="N42" s="196"/>
      <c r="AA42" s="160"/>
      <c r="AB42" s="160"/>
      <c r="AD42" s="160"/>
      <c r="AE42" s="160"/>
      <c r="AF42" s="160"/>
      <c r="AG42" s="160"/>
      <c r="AH42" s="160"/>
      <c r="AI42" s="160"/>
      <c r="AJ42" s="160"/>
      <c r="AK42" s="160"/>
      <c r="AL42" s="160"/>
      <c r="AM42" s="160"/>
      <c r="AN42" s="160"/>
      <c r="AO42" s="160"/>
      <c r="AP42" s="160"/>
      <c r="AQ42" s="160"/>
    </row>
    <row r="43" spans="3:43" ht="15.75" customHeight="1">
      <c r="C43" s="195"/>
      <c r="M43" s="206" t="s">
        <v>213</v>
      </c>
      <c r="N43" s="196"/>
      <c r="AA43" s="159" t="s">
        <v>215</v>
      </c>
      <c r="AB43" s="160"/>
      <c r="AC43" s="159"/>
      <c r="AD43" s="160"/>
      <c r="AE43" s="160"/>
      <c r="AF43" s="160"/>
      <c r="AG43" s="160"/>
      <c r="AH43" s="160"/>
      <c r="AI43" s="160"/>
      <c r="AJ43" s="160"/>
      <c r="AK43" s="160"/>
      <c r="AL43" s="160"/>
      <c r="AM43" s="160"/>
      <c r="AN43" s="160"/>
      <c r="AO43" s="160"/>
      <c r="AP43" s="160"/>
      <c r="AQ43" s="160"/>
    </row>
    <row r="44" spans="3:43">
      <c r="C44" s="195"/>
      <c r="M44" s="206" t="s">
        <v>214</v>
      </c>
      <c r="N44" s="196"/>
      <c r="AA44" s="159"/>
      <c r="AB44" s="160"/>
      <c r="AC44" s="160"/>
      <c r="AD44" s="160"/>
      <c r="AE44" s="160"/>
      <c r="AF44" s="160"/>
      <c r="AG44" s="160"/>
      <c r="AH44" s="160"/>
      <c r="AI44" s="160"/>
      <c r="AJ44" s="160"/>
      <c r="AK44" s="160"/>
      <c r="AL44" s="160"/>
      <c r="AM44" s="164" t="s">
        <v>158</v>
      </c>
      <c r="AN44" s="160"/>
      <c r="AO44" s="160"/>
      <c r="AP44" s="160"/>
      <c r="AQ44" s="160"/>
    </row>
    <row r="45" spans="3:43">
      <c r="C45" s="195"/>
      <c r="M45" s="205"/>
      <c r="N45" s="196"/>
      <c r="AA45" s="166" t="s">
        <v>9</v>
      </c>
      <c r="AB45" s="197" t="s">
        <v>202</v>
      </c>
      <c r="AC45" s="198" t="s">
        <v>203</v>
      </c>
      <c r="AD45" s="199"/>
      <c r="AE45" s="199"/>
      <c r="AF45" s="199"/>
      <c r="AG45" s="199"/>
      <c r="AH45" s="199"/>
      <c r="AI45" s="199"/>
      <c r="AJ45" s="199"/>
      <c r="AK45" s="199"/>
      <c r="AL45" s="199"/>
      <c r="AM45" s="200"/>
      <c r="AN45" s="160"/>
      <c r="AO45" s="160"/>
      <c r="AP45" s="160"/>
      <c r="AQ45" s="160"/>
    </row>
    <row r="46" spans="3:43">
      <c r="C46" s="195"/>
      <c r="M46" s="205"/>
      <c r="N46" s="196"/>
      <c r="AA46" s="171"/>
      <c r="AB46" s="201"/>
      <c r="AC46" s="173">
        <v>7</v>
      </c>
      <c r="AD46" s="189">
        <v>10</v>
      </c>
      <c r="AE46" s="189">
        <v>20</v>
      </c>
      <c r="AF46" s="189">
        <v>50</v>
      </c>
      <c r="AG46" s="189">
        <v>100</v>
      </c>
      <c r="AH46" s="189">
        <v>200</v>
      </c>
      <c r="AI46" s="189">
        <v>500</v>
      </c>
      <c r="AJ46" s="190">
        <v>1000</v>
      </c>
      <c r="AK46" s="190">
        <v>2000</v>
      </c>
      <c r="AL46" s="190">
        <v>5000</v>
      </c>
      <c r="AM46" s="190">
        <v>8000</v>
      </c>
      <c r="AN46" s="160"/>
      <c r="AO46" s="160"/>
      <c r="AP46" s="160"/>
      <c r="AQ46" s="160"/>
    </row>
    <row r="47" spans="3:43">
      <c r="M47" s="205"/>
      <c r="AA47" s="202">
        <v>1</v>
      </c>
      <c r="AB47" s="178" t="s">
        <v>206</v>
      </c>
      <c r="AC47" s="203">
        <v>4.24</v>
      </c>
      <c r="AD47" s="204">
        <v>4.24</v>
      </c>
      <c r="AE47" s="204">
        <v>3.68</v>
      </c>
      <c r="AF47" s="204">
        <v>3.1</v>
      </c>
      <c r="AG47" s="204">
        <v>2.82</v>
      </c>
      <c r="AH47" s="204">
        <v>2.57</v>
      </c>
      <c r="AI47" s="204">
        <v>2.17</v>
      </c>
      <c r="AJ47" s="204">
        <v>1.75</v>
      </c>
      <c r="AK47" s="204">
        <v>1.5</v>
      </c>
      <c r="AL47" s="204">
        <v>1.1599999999999999</v>
      </c>
      <c r="AM47" s="204">
        <v>0.9</v>
      </c>
      <c r="AN47" s="160"/>
      <c r="AO47" s="160"/>
      <c r="AP47" s="160"/>
      <c r="AQ47" s="160"/>
    </row>
    <row r="48" spans="3:43">
      <c r="AA48" s="202">
        <v>2</v>
      </c>
      <c r="AB48" s="178" t="s">
        <v>208</v>
      </c>
      <c r="AC48" s="203">
        <v>3.84</v>
      </c>
      <c r="AD48" s="204">
        <v>3.84</v>
      </c>
      <c r="AE48" s="204">
        <v>3.36</v>
      </c>
      <c r="AF48" s="204">
        <v>2.82</v>
      </c>
      <c r="AG48" s="204">
        <v>2.54</v>
      </c>
      <c r="AH48" s="204">
        <v>2.34</v>
      </c>
      <c r="AI48" s="204">
        <v>1.96</v>
      </c>
      <c r="AJ48" s="204">
        <v>1.59</v>
      </c>
      <c r="AK48" s="204">
        <v>1.38</v>
      </c>
      <c r="AL48" s="204">
        <v>1.05</v>
      </c>
      <c r="AM48" s="204">
        <v>0.82</v>
      </c>
      <c r="AN48" s="160"/>
      <c r="AO48" s="160"/>
      <c r="AP48" s="160"/>
      <c r="AQ48" s="160"/>
    </row>
    <row r="49" spans="27:43" ht="15.75" customHeight="1">
      <c r="AA49" s="202">
        <v>3</v>
      </c>
      <c r="AB49" s="178" t="s">
        <v>209</v>
      </c>
      <c r="AC49" s="204">
        <v>3.63</v>
      </c>
      <c r="AD49" s="204">
        <v>3.48</v>
      </c>
      <c r="AE49" s="204">
        <v>3.01</v>
      </c>
      <c r="AF49" s="204">
        <v>2.54</v>
      </c>
      <c r="AG49" s="204">
        <v>2.29</v>
      </c>
      <c r="AH49" s="204">
        <v>2.1</v>
      </c>
      <c r="AI49" s="204">
        <v>1.79</v>
      </c>
      <c r="AJ49" s="204">
        <v>1.45</v>
      </c>
      <c r="AK49" s="204">
        <v>1.24</v>
      </c>
      <c r="AL49" s="204">
        <v>0.96</v>
      </c>
      <c r="AM49" s="204">
        <v>0.73</v>
      </c>
      <c r="AN49" s="160"/>
      <c r="AO49" s="160"/>
      <c r="AP49" s="160"/>
      <c r="AQ49" s="160"/>
    </row>
    <row r="50" spans="27:43" ht="15.75" customHeight="1">
      <c r="AA50" s="202">
        <v>4</v>
      </c>
      <c r="AB50" s="178" t="s">
        <v>211</v>
      </c>
      <c r="AC50" s="204">
        <v>3.27</v>
      </c>
      <c r="AD50" s="204">
        <v>3.15</v>
      </c>
      <c r="AE50" s="204">
        <v>2.73</v>
      </c>
      <c r="AF50" s="204">
        <v>2.29</v>
      </c>
      <c r="AG50" s="204">
        <v>2.08</v>
      </c>
      <c r="AH50" s="204">
        <v>1.9</v>
      </c>
      <c r="AI50" s="204">
        <v>1.62</v>
      </c>
      <c r="AJ50" s="204">
        <v>1.31</v>
      </c>
      <c r="AK50" s="204">
        <v>1.1100000000000001</v>
      </c>
      <c r="AL50" s="204">
        <v>0.86</v>
      </c>
      <c r="AM50" s="204">
        <v>0.65</v>
      </c>
      <c r="AN50" s="160"/>
      <c r="AO50" s="160"/>
      <c r="AP50" s="160"/>
      <c r="AQ50" s="160"/>
    </row>
    <row r="51" spans="27:43" ht="15.75" customHeight="1">
      <c r="AA51" s="202">
        <v>5</v>
      </c>
      <c r="AB51" s="178" t="s">
        <v>212</v>
      </c>
      <c r="AC51" s="204">
        <v>2.9</v>
      </c>
      <c r="AD51" s="204">
        <v>2.78</v>
      </c>
      <c r="AE51" s="204">
        <v>2.4300000000000002</v>
      </c>
      <c r="AF51" s="204">
        <v>1.91</v>
      </c>
      <c r="AG51" s="204">
        <v>1.62</v>
      </c>
      <c r="AH51" s="204">
        <v>1.37</v>
      </c>
      <c r="AI51" s="204">
        <v>1.1599999999999999</v>
      </c>
      <c r="AJ51" s="204">
        <v>0.95</v>
      </c>
      <c r="AK51" s="203">
        <v>0.95</v>
      </c>
      <c r="AL51" s="203">
        <v>0.95</v>
      </c>
      <c r="AM51" s="203">
        <v>0.95</v>
      </c>
      <c r="AN51" s="160"/>
      <c r="AO51" s="160"/>
      <c r="AP51" s="160"/>
      <c r="AQ51" s="160"/>
    </row>
    <row r="52" spans="27:43" ht="15.75" customHeight="1">
      <c r="AA52" s="160"/>
      <c r="AB52" s="160"/>
      <c r="AC52" s="160"/>
      <c r="AD52" s="160"/>
      <c r="AE52" s="160"/>
      <c r="AF52" s="160"/>
      <c r="AG52" s="160"/>
      <c r="AH52" s="160"/>
      <c r="AI52" s="160"/>
      <c r="AJ52" s="160"/>
      <c r="AK52" s="160"/>
      <c r="AL52" s="160"/>
      <c r="AM52" s="160"/>
      <c r="AN52" s="160"/>
      <c r="AO52" s="160"/>
      <c r="AP52" s="160"/>
      <c r="AQ52" s="160"/>
    </row>
    <row r="53" spans="27:43" ht="15.75" customHeight="1">
      <c r="AA53" s="159" t="s">
        <v>216</v>
      </c>
      <c r="AB53" s="160"/>
      <c r="AC53" s="159"/>
      <c r="AD53" s="160"/>
      <c r="AE53" s="160"/>
      <c r="AF53" s="160"/>
      <c r="AG53" s="160"/>
      <c r="AH53" s="160"/>
      <c r="AI53" s="160"/>
      <c r="AJ53" s="160"/>
      <c r="AK53" s="160"/>
      <c r="AL53" s="160"/>
      <c r="AM53" s="160"/>
      <c r="AN53" s="160"/>
      <c r="AO53" s="160"/>
      <c r="AP53" s="160"/>
      <c r="AQ53" s="160"/>
    </row>
    <row r="54" spans="27:43" ht="15.75" customHeight="1">
      <c r="AA54" s="159" t="s">
        <v>217</v>
      </c>
      <c r="AB54" s="160"/>
      <c r="AD54" s="160"/>
      <c r="AE54" s="160"/>
      <c r="AF54" s="160"/>
      <c r="AG54" s="160"/>
      <c r="AH54" s="160"/>
      <c r="AI54" s="160"/>
      <c r="AJ54" s="160"/>
      <c r="AK54" s="160"/>
      <c r="AL54" s="160"/>
      <c r="AM54" s="160"/>
      <c r="AN54" s="160"/>
      <c r="AO54" s="160"/>
      <c r="AP54" s="160"/>
      <c r="AQ54" s="160"/>
    </row>
    <row r="55" spans="27:43" ht="15.75" customHeight="1">
      <c r="AA55" s="160"/>
      <c r="AB55" s="160"/>
      <c r="AC55" s="160"/>
      <c r="AD55" s="160"/>
      <c r="AE55" s="160"/>
      <c r="AG55" s="160"/>
      <c r="AH55" s="160"/>
      <c r="AI55" s="160"/>
      <c r="AJ55" s="160"/>
      <c r="AK55" s="160"/>
      <c r="AL55" s="160"/>
      <c r="AM55" s="164" t="s">
        <v>158</v>
      </c>
      <c r="AN55" s="160"/>
      <c r="AO55" s="160"/>
      <c r="AP55" s="160"/>
      <c r="AQ55" s="160"/>
    </row>
    <row r="56" spans="27:43" ht="15.75" customHeight="1">
      <c r="AA56" s="166" t="s">
        <v>9</v>
      </c>
      <c r="AB56" s="197" t="s">
        <v>202</v>
      </c>
      <c r="AC56" s="207" t="s">
        <v>203</v>
      </c>
      <c r="AD56" s="208"/>
      <c r="AE56" s="199"/>
      <c r="AF56" s="199"/>
      <c r="AG56" s="199"/>
      <c r="AH56" s="199"/>
      <c r="AI56" s="199"/>
      <c r="AJ56" s="199"/>
      <c r="AK56" s="199"/>
      <c r="AL56" s="199"/>
      <c r="AM56" s="200"/>
      <c r="AN56" s="160"/>
      <c r="AO56" s="160"/>
      <c r="AP56" s="160"/>
      <c r="AQ56" s="160"/>
    </row>
    <row r="57" spans="27:43" ht="15.75" customHeight="1">
      <c r="AA57" s="171"/>
      <c r="AB57" s="201"/>
      <c r="AC57" s="173">
        <v>7</v>
      </c>
      <c r="AD57" s="189">
        <v>10</v>
      </c>
      <c r="AE57" s="189">
        <v>20</v>
      </c>
      <c r="AF57" s="189">
        <v>50</v>
      </c>
      <c r="AG57" s="189">
        <v>100</v>
      </c>
      <c r="AH57" s="189">
        <v>200</v>
      </c>
      <c r="AI57" s="189">
        <v>500</v>
      </c>
      <c r="AJ57" s="190">
        <v>1000</v>
      </c>
      <c r="AK57" s="190">
        <v>2000</v>
      </c>
      <c r="AL57" s="190">
        <v>5000</v>
      </c>
      <c r="AM57" s="190">
        <v>8000</v>
      </c>
      <c r="AN57" s="160"/>
      <c r="AO57" s="160"/>
      <c r="AP57" s="160"/>
      <c r="AQ57" s="160"/>
    </row>
    <row r="58" spans="27:43" ht="15.75" customHeight="1">
      <c r="AA58" s="202">
        <v>1</v>
      </c>
      <c r="AB58" s="178" t="s">
        <v>206</v>
      </c>
      <c r="AC58" s="209">
        <v>2.79</v>
      </c>
      <c r="AD58" s="180">
        <v>2.79</v>
      </c>
      <c r="AE58" s="180">
        <v>2.58</v>
      </c>
      <c r="AF58" s="180">
        <v>2.21</v>
      </c>
      <c r="AG58" s="180">
        <v>2.0099999999999998</v>
      </c>
      <c r="AH58" s="180">
        <v>1.82</v>
      </c>
      <c r="AI58" s="180">
        <v>1.66</v>
      </c>
      <c r="AJ58" s="180">
        <v>1.45</v>
      </c>
      <c r="AK58" s="180">
        <v>1.23</v>
      </c>
      <c r="AL58" s="180">
        <v>0.95</v>
      </c>
      <c r="AM58" s="180">
        <v>0.73</v>
      </c>
      <c r="AN58" s="160"/>
      <c r="AO58" s="160"/>
      <c r="AP58" s="160"/>
      <c r="AQ58" s="160"/>
    </row>
    <row r="59" spans="27:43" ht="15.75" customHeight="1">
      <c r="AA59" s="202">
        <v>2</v>
      </c>
      <c r="AB59" s="178" t="s">
        <v>208</v>
      </c>
      <c r="AC59" s="209">
        <v>2.33</v>
      </c>
      <c r="AD59" s="180">
        <v>2.33</v>
      </c>
      <c r="AE59" s="180">
        <v>2.15</v>
      </c>
      <c r="AF59" s="180">
        <v>1.83</v>
      </c>
      <c r="AG59" s="180">
        <v>1.67</v>
      </c>
      <c r="AH59" s="180">
        <v>1.51</v>
      </c>
      <c r="AI59" s="180">
        <v>1.38</v>
      </c>
      <c r="AJ59" s="180">
        <v>1.21</v>
      </c>
      <c r="AK59" s="180">
        <v>1.03</v>
      </c>
      <c r="AL59" s="180">
        <v>0.79</v>
      </c>
      <c r="AM59" s="180">
        <v>0.61</v>
      </c>
      <c r="AN59" s="160"/>
      <c r="AO59" s="160"/>
      <c r="AP59" s="160"/>
      <c r="AQ59" s="160"/>
    </row>
    <row r="60" spans="27:43" ht="15.75" customHeight="1">
      <c r="AA60" s="202">
        <v>3</v>
      </c>
      <c r="AB60" s="178" t="s">
        <v>209</v>
      </c>
      <c r="AC60" s="180">
        <v>1.99</v>
      </c>
      <c r="AD60" s="180">
        <v>1.94</v>
      </c>
      <c r="AE60" s="180">
        <v>1.79</v>
      </c>
      <c r="AF60" s="180">
        <v>1.53</v>
      </c>
      <c r="AG60" s="180">
        <v>1.39</v>
      </c>
      <c r="AH60" s="180">
        <v>1.26</v>
      </c>
      <c r="AI60" s="180">
        <v>1.1499999999999999</v>
      </c>
      <c r="AJ60" s="180">
        <v>1.01</v>
      </c>
      <c r="AK60" s="180">
        <v>0.86</v>
      </c>
      <c r="AL60" s="180">
        <v>0.66</v>
      </c>
      <c r="AM60" s="180">
        <v>0.51</v>
      </c>
      <c r="AN60" s="160"/>
      <c r="AO60" s="160"/>
      <c r="AP60" s="160"/>
      <c r="AQ60" s="160"/>
    </row>
    <row r="61" spans="27:43" ht="15.75" customHeight="1">
      <c r="AA61" s="202">
        <v>4</v>
      </c>
      <c r="AB61" s="178" t="s">
        <v>211</v>
      </c>
      <c r="AC61" s="180">
        <v>1.73</v>
      </c>
      <c r="AD61" s="180">
        <v>1.69</v>
      </c>
      <c r="AE61" s="180">
        <v>1.56</v>
      </c>
      <c r="AF61" s="180">
        <v>1.32</v>
      </c>
      <c r="AG61" s="180">
        <v>1.2</v>
      </c>
      <c r="AH61" s="180">
        <v>1.1000000000000001</v>
      </c>
      <c r="AI61" s="180">
        <v>1.01</v>
      </c>
      <c r="AJ61" s="180">
        <v>0.9</v>
      </c>
      <c r="AK61" s="180">
        <v>0.77</v>
      </c>
      <c r="AL61" s="180">
        <v>0.59</v>
      </c>
      <c r="AM61" s="180">
        <v>0.46</v>
      </c>
      <c r="AN61" s="160"/>
      <c r="AO61" s="160"/>
      <c r="AP61" s="160"/>
      <c r="AQ61" s="160"/>
    </row>
    <row r="62" spans="27:43" ht="15.75" customHeight="1">
      <c r="AA62" s="202">
        <v>5</v>
      </c>
      <c r="AB62" s="178" t="s">
        <v>212</v>
      </c>
      <c r="AC62" s="180">
        <v>1.54</v>
      </c>
      <c r="AD62" s="180">
        <v>1.5</v>
      </c>
      <c r="AE62" s="180">
        <v>1.39</v>
      </c>
      <c r="AF62" s="180">
        <v>1.17</v>
      </c>
      <c r="AG62" s="180">
        <v>1.08</v>
      </c>
      <c r="AH62" s="180">
        <v>0.92</v>
      </c>
      <c r="AI62" s="180">
        <v>0.78</v>
      </c>
      <c r="AJ62" s="180">
        <v>0.67</v>
      </c>
      <c r="AK62" s="209">
        <v>0.67</v>
      </c>
      <c r="AL62" s="209">
        <v>0.67</v>
      </c>
      <c r="AM62" s="209">
        <v>0.67</v>
      </c>
      <c r="AN62" s="160"/>
      <c r="AO62" s="160"/>
      <c r="AP62" s="160"/>
      <c r="AQ62" s="160"/>
    </row>
    <row r="63" spans="27:43" ht="15.75" customHeight="1">
      <c r="AA63" s="160"/>
      <c r="AB63" s="160"/>
      <c r="AD63" s="160"/>
      <c r="AE63" s="160"/>
      <c r="AF63" s="160"/>
      <c r="AG63" s="160"/>
      <c r="AH63" s="160"/>
      <c r="AI63" s="160"/>
      <c r="AJ63" s="160"/>
      <c r="AK63" s="160"/>
      <c r="AL63" s="160"/>
      <c r="AM63" s="160"/>
      <c r="AN63" s="160"/>
      <c r="AO63" s="160"/>
      <c r="AP63" s="160"/>
      <c r="AQ63" s="160"/>
    </row>
    <row r="64" spans="27:43" ht="15.75" customHeight="1">
      <c r="AA64" s="159" t="s">
        <v>218</v>
      </c>
      <c r="AB64" s="160"/>
      <c r="AC64" s="159"/>
      <c r="AD64" s="160"/>
      <c r="AE64" s="160"/>
      <c r="AF64" s="160"/>
      <c r="AG64" s="160"/>
      <c r="AH64" s="160"/>
      <c r="AI64" s="160"/>
      <c r="AJ64" s="160"/>
      <c r="AK64" s="160"/>
      <c r="AL64" s="160"/>
      <c r="AM64" s="160"/>
      <c r="AN64" s="160"/>
      <c r="AO64" s="160"/>
      <c r="AP64" s="160"/>
      <c r="AQ64" s="160"/>
    </row>
    <row r="65" spans="27:43" ht="15.75" customHeight="1">
      <c r="AB65" s="160"/>
      <c r="AC65" s="160"/>
      <c r="AD65" s="160"/>
      <c r="AE65" s="160"/>
      <c r="AF65" s="160"/>
      <c r="AG65" s="160"/>
      <c r="AH65" s="160"/>
      <c r="AI65" s="160"/>
      <c r="AJ65" s="160"/>
      <c r="AK65" s="160"/>
      <c r="AL65" s="160"/>
      <c r="AM65" s="164" t="s">
        <v>158</v>
      </c>
      <c r="AN65" s="160"/>
      <c r="AO65" s="160"/>
      <c r="AP65" s="160"/>
      <c r="AQ65" s="160"/>
    </row>
    <row r="66" spans="27:43" ht="15.75" customHeight="1">
      <c r="AA66" s="166" t="s">
        <v>9</v>
      </c>
      <c r="AB66" s="197" t="s">
        <v>202</v>
      </c>
      <c r="AC66" s="207" t="s">
        <v>203</v>
      </c>
      <c r="AD66" s="208"/>
      <c r="AE66" s="199"/>
      <c r="AF66" s="199"/>
      <c r="AG66" s="199"/>
      <c r="AH66" s="199"/>
      <c r="AI66" s="199"/>
      <c r="AJ66" s="199"/>
      <c r="AK66" s="199"/>
      <c r="AL66" s="199"/>
      <c r="AM66" s="200"/>
      <c r="AN66" s="160"/>
      <c r="AO66" s="160"/>
      <c r="AP66" s="160"/>
      <c r="AQ66" s="160"/>
    </row>
    <row r="67" spans="27:43" ht="15.75" customHeight="1">
      <c r="AA67" s="171"/>
      <c r="AB67" s="201"/>
      <c r="AC67" s="173">
        <v>7</v>
      </c>
      <c r="AD67" s="189">
        <v>10</v>
      </c>
      <c r="AE67" s="189">
        <v>20</v>
      </c>
      <c r="AF67" s="189">
        <v>50</v>
      </c>
      <c r="AG67" s="189">
        <v>100</v>
      </c>
      <c r="AH67" s="189">
        <v>200</v>
      </c>
      <c r="AI67" s="189">
        <v>500</v>
      </c>
      <c r="AJ67" s="190">
        <v>1000</v>
      </c>
      <c r="AK67" s="190">
        <v>2000</v>
      </c>
      <c r="AL67" s="190">
        <v>5000</v>
      </c>
      <c r="AM67" s="190">
        <v>8000</v>
      </c>
      <c r="AN67" s="160"/>
      <c r="AO67" s="160"/>
      <c r="AP67" s="160"/>
      <c r="AQ67" s="160"/>
    </row>
    <row r="68" spans="27:43" ht="15.75" customHeight="1">
      <c r="AA68" s="202">
        <v>1</v>
      </c>
      <c r="AB68" s="178" t="s">
        <v>206</v>
      </c>
      <c r="AC68" s="209">
        <v>4.67</v>
      </c>
      <c r="AD68" s="180">
        <v>4.67</v>
      </c>
      <c r="AE68" s="180">
        <v>4.12</v>
      </c>
      <c r="AF68" s="180">
        <v>3.53</v>
      </c>
      <c r="AG68" s="180">
        <v>3.21</v>
      </c>
      <c r="AH68" s="180">
        <v>2.91</v>
      </c>
      <c r="AI68" s="180">
        <v>2.65</v>
      </c>
      <c r="AJ68" s="180">
        <v>2.3199999999999998</v>
      </c>
      <c r="AK68" s="180">
        <v>1.96</v>
      </c>
      <c r="AL68" s="180">
        <v>1.52</v>
      </c>
      <c r="AM68" s="180">
        <v>1.1599999999999999</v>
      </c>
      <c r="AN68" s="160"/>
      <c r="AO68" s="160"/>
      <c r="AP68" s="160"/>
      <c r="AQ68" s="160"/>
    </row>
    <row r="69" spans="27:43" ht="15.75" customHeight="1">
      <c r="AA69" s="202">
        <v>2</v>
      </c>
      <c r="AB69" s="178" t="s">
        <v>208</v>
      </c>
      <c r="AC69" s="209">
        <v>3.73</v>
      </c>
      <c r="AD69" s="180">
        <v>3.73</v>
      </c>
      <c r="AE69" s="180">
        <v>3.44</v>
      </c>
      <c r="AF69" s="180">
        <v>2.92</v>
      </c>
      <c r="AG69" s="180">
        <v>2.67</v>
      </c>
      <c r="AH69" s="180">
        <v>2.41</v>
      </c>
      <c r="AI69" s="180">
        <v>2.2000000000000002</v>
      </c>
      <c r="AJ69" s="180">
        <v>1.93</v>
      </c>
      <c r="AK69" s="180">
        <v>1.64</v>
      </c>
      <c r="AL69" s="180">
        <v>1.26</v>
      </c>
      <c r="AM69" s="180">
        <v>0.97</v>
      </c>
      <c r="AN69" s="160"/>
      <c r="AO69" s="160"/>
      <c r="AP69" s="160"/>
      <c r="AQ69" s="160"/>
    </row>
    <row r="70" spans="27:43" ht="15.75" customHeight="1">
      <c r="AA70" s="202">
        <v>3</v>
      </c>
      <c r="AB70" s="178" t="s">
        <v>209</v>
      </c>
      <c r="AC70" s="180">
        <v>3.07</v>
      </c>
      <c r="AD70" s="180">
        <v>2.99</v>
      </c>
      <c r="AE70" s="180">
        <v>2.76</v>
      </c>
      <c r="AF70" s="180">
        <v>2.35</v>
      </c>
      <c r="AG70" s="180">
        <v>2.15</v>
      </c>
      <c r="AH70" s="180">
        <v>1.94</v>
      </c>
      <c r="AI70" s="180">
        <v>1.77</v>
      </c>
      <c r="AJ70" s="180">
        <v>1.55</v>
      </c>
      <c r="AK70" s="180">
        <v>1.32</v>
      </c>
      <c r="AL70" s="180">
        <v>1.02</v>
      </c>
      <c r="AM70" s="180">
        <v>0.78</v>
      </c>
      <c r="AN70" s="160"/>
      <c r="AO70" s="160"/>
      <c r="AP70" s="160"/>
      <c r="AQ70" s="160"/>
    </row>
    <row r="71" spans="27:43" ht="15.75" customHeight="1">
      <c r="AA71" s="202">
        <v>4</v>
      </c>
      <c r="AB71" s="178" t="s">
        <v>211</v>
      </c>
      <c r="AC71" s="180">
        <v>2.76</v>
      </c>
      <c r="AD71" s="180">
        <v>2.69</v>
      </c>
      <c r="AE71" s="180">
        <v>2.4900000000000002</v>
      </c>
      <c r="AF71" s="180">
        <v>2.11</v>
      </c>
      <c r="AG71" s="180">
        <v>1.92</v>
      </c>
      <c r="AH71" s="180">
        <v>1.75</v>
      </c>
      <c r="AI71" s="180">
        <v>1.61</v>
      </c>
      <c r="AJ71" s="180">
        <v>1.44</v>
      </c>
      <c r="AK71" s="180">
        <v>1.22</v>
      </c>
      <c r="AL71" s="180">
        <v>0.94</v>
      </c>
      <c r="AM71" s="180">
        <v>0.72</v>
      </c>
      <c r="AN71" s="160"/>
      <c r="AO71" s="160"/>
      <c r="AP71" s="160"/>
      <c r="AQ71" s="160"/>
    </row>
    <row r="72" spans="27:43" ht="15.75" customHeight="1">
      <c r="AA72" s="202">
        <v>5</v>
      </c>
      <c r="AB72" s="178" t="s">
        <v>212</v>
      </c>
      <c r="AC72" s="180">
        <v>2.4500000000000002</v>
      </c>
      <c r="AD72" s="180">
        <v>2.39</v>
      </c>
      <c r="AE72" s="180">
        <v>2.21</v>
      </c>
      <c r="AF72" s="180">
        <v>1.87</v>
      </c>
      <c r="AG72" s="180">
        <v>1.72</v>
      </c>
      <c r="AH72" s="180">
        <v>1.46</v>
      </c>
      <c r="AI72" s="180">
        <v>1.24</v>
      </c>
      <c r="AJ72" s="180">
        <v>1.06</v>
      </c>
      <c r="AK72" s="209">
        <v>1.06</v>
      </c>
      <c r="AL72" s="209">
        <v>1.06</v>
      </c>
      <c r="AM72" s="209">
        <v>1.06</v>
      </c>
      <c r="AN72" s="160"/>
      <c r="AO72" s="160"/>
      <c r="AP72" s="160"/>
      <c r="AQ72" s="160"/>
    </row>
    <row r="73" spans="27:43" ht="15.75" customHeight="1">
      <c r="AA73" s="160"/>
      <c r="AB73" s="160"/>
      <c r="AC73" s="160"/>
      <c r="AD73" s="160"/>
      <c r="AE73" s="160"/>
      <c r="AF73" s="160"/>
      <c r="AG73" s="160"/>
      <c r="AH73" s="160"/>
      <c r="AI73" s="160"/>
      <c r="AJ73" s="160"/>
      <c r="AK73" s="160"/>
      <c r="AL73" s="160"/>
      <c r="AM73" s="160"/>
      <c r="AN73" s="160"/>
      <c r="AO73" s="160"/>
      <c r="AP73" s="160"/>
      <c r="AQ73" s="160"/>
    </row>
    <row r="74" spans="27:43" ht="15.75" customHeight="1">
      <c r="AA74" s="159" t="s">
        <v>219</v>
      </c>
      <c r="AB74" s="160"/>
      <c r="AC74" s="160"/>
      <c r="AD74" s="160"/>
      <c r="AE74" s="160"/>
      <c r="AF74" s="160"/>
      <c r="AG74" s="160"/>
      <c r="AH74" s="160"/>
      <c r="AI74" s="160"/>
      <c r="AJ74" s="160"/>
      <c r="AK74" s="160"/>
      <c r="AL74" s="160"/>
      <c r="AM74" s="160"/>
      <c r="AN74" s="160"/>
      <c r="AO74" s="160"/>
      <c r="AP74" s="160"/>
      <c r="AQ74" s="160"/>
    </row>
    <row r="75" spans="27:43" ht="15.75" customHeight="1">
      <c r="AA75" s="159" t="s">
        <v>220</v>
      </c>
      <c r="AB75" s="160"/>
      <c r="AC75" s="160"/>
      <c r="AD75" s="160"/>
      <c r="AE75" s="160"/>
      <c r="AF75" s="160"/>
      <c r="AG75" s="160"/>
      <c r="AH75" s="160"/>
      <c r="AI75" s="160"/>
      <c r="AJ75" s="160"/>
      <c r="AK75" s="160"/>
      <c r="AL75" s="160"/>
      <c r="AM75" s="160"/>
      <c r="AN75" s="160"/>
      <c r="AO75" s="160"/>
      <c r="AP75" s="160"/>
      <c r="AQ75" s="160"/>
    </row>
    <row r="76" spans="27:43" ht="15.75" customHeight="1">
      <c r="AA76" s="159"/>
      <c r="AB76" s="160"/>
      <c r="AC76" s="160"/>
      <c r="AD76" s="160"/>
      <c r="AE76" s="160"/>
      <c r="AF76" s="160"/>
      <c r="AG76" s="160"/>
      <c r="AH76" s="160"/>
      <c r="AI76" s="160"/>
      <c r="AJ76" s="160"/>
      <c r="AK76" s="160"/>
      <c r="AL76" s="160"/>
      <c r="AM76" s="164" t="s">
        <v>158</v>
      </c>
      <c r="AN76" s="160"/>
      <c r="AO76" s="160"/>
      <c r="AP76" s="160"/>
      <c r="AQ76" s="160"/>
    </row>
    <row r="77" spans="27:43" ht="15.75" customHeight="1">
      <c r="AA77" s="166" t="s">
        <v>9</v>
      </c>
      <c r="AB77" s="197" t="s">
        <v>202</v>
      </c>
      <c r="AC77" s="207" t="s">
        <v>203</v>
      </c>
      <c r="AD77" s="208"/>
      <c r="AE77" s="199"/>
      <c r="AF77" s="199"/>
      <c r="AG77" s="199"/>
      <c r="AH77" s="199"/>
      <c r="AI77" s="199"/>
      <c r="AJ77" s="199"/>
      <c r="AK77" s="199"/>
      <c r="AL77" s="199"/>
      <c r="AM77" s="200"/>
      <c r="AN77" s="160"/>
      <c r="AO77" s="160"/>
      <c r="AP77" s="160"/>
      <c r="AQ77" s="160"/>
    </row>
    <row r="78" spans="27:43" ht="15.75" customHeight="1">
      <c r="AA78" s="171"/>
      <c r="AB78" s="201"/>
      <c r="AC78" s="173">
        <v>7</v>
      </c>
      <c r="AD78" s="189">
        <v>10</v>
      </c>
      <c r="AE78" s="189">
        <v>20</v>
      </c>
      <c r="AF78" s="189">
        <v>50</v>
      </c>
      <c r="AG78" s="189">
        <v>100</v>
      </c>
      <c r="AH78" s="189">
        <v>200</v>
      </c>
      <c r="AI78" s="189">
        <v>500</v>
      </c>
      <c r="AJ78" s="190">
        <v>1000</v>
      </c>
      <c r="AK78" s="190">
        <v>2000</v>
      </c>
      <c r="AL78" s="190">
        <v>5000</v>
      </c>
      <c r="AM78" s="190">
        <v>8000</v>
      </c>
      <c r="AN78" s="160"/>
      <c r="AO78" s="160"/>
      <c r="AP78" s="160"/>
      <c r="AQ78" s="160"/>
    </row>
    <row r="79" spans="27:43" ht="15.75" customHeight="1">
      <c r="AA79" s="202">
        <v>1</v>
      </c>
      <c r="AB79" s="178" t="s">
        <v>206</v>
      </c>
      <c r="AC79" s="209">
        <v>1.81</v>
      </c>
      <c r="AD79" s="180">
        <v>1.81</v>
      </c>
      <c r="AE79" s="180">
        <v>1.67</v>
      </c>
      <c r="AF79" s="180">
        <v>1.46</v>
      </c>
      <c r="AG79" s="180">
        <v>1.26</v>
      </c>
      <c r="AH79" s="179">
        <v>1145</v>
      </c>
      <c r="AI79" s="180">
        <v>1.06</v>
      </c>
      <c r="AJ79" s="180">
        <v>0.91</v>
      </c>
      <c r="AK79" s="180">
        <v>0.76</v>
      </c>
      <c r="AL79" s="180">
        <v>0.57999999999999996</v>
      </c>
      <c r="AM79" s="180">
        <v>0.44</v>
      </c>
      <c r="AN79" s="160"/>
      <c r="AO79" s="160"/>
      <c r="AP79" s="160"/>
      <c r="AQ79" s="160"/>
    </row>
    <row r="80" spans="27:43" ht="15.75" customHeight="1">
      <c r="AA80" s="202">
        <v>2</v>
      </c>
      <c r="AB80" s="178" t="s">
        <v>208</v>
      </c>
      <c r="AC80" s="209">
        <v>1.1100000000000001</v>
      </c>
      <c r="AD80" s="180">
        <v>1.1100000000000001</v>
      </c>
      <c r="AE80" s="180">
        <v>1.05</v>
      </c>
      <c r="AF80" s="180">
        <v>0.87</v>
      </c>
      <c r="AG80" s="180">
        <v>0.81</v>
      </c>
      <c r="AH80" s="180">
        <v>0.73</v>
      </c>
      <c r="AI80" s="180">
        <v>0.67</v>
      </c>
      <c r="AJ80" s="180">
        <v>0.56999999999999995</v>
      </c>
      <c r="AK80" s="180">
        <v>0.48</v>
      </c>
      <c r="AL80" s="180">
        <v>0.37</v>
      </c>
      <c r="AM80" s="180">
        <v>0.28000000000000003</v>
      </c>
      <c r="AN80" s="160"/>
      <c r="AO80" s="160"/>
      <c r="AP80" s="160"/>
      <c r="AQ80" s="160"/>
    </row>
    <row r="81" spans="27:43" ht="15.75" customHeight="1">
      <c r="AA81" s="202">
        <v>3</v>
      </c>
      <c r="AB81" s="178" t="s">
        <v>209</v>
      </c>
      <c r="AC81" s="180">
        <v>1.04</v>
      </c>
      <c r="AD81" s="180">
        <v>1.01</v>
      </c>
      <c r="AE81" s="180">
        <v>0.94</v>
      </c>
      <c r="AF81" s="180">
        <v>0.8</v>
      </c>
      <c r="AG81" s="180">
        <v>0.73</v>
      </c>
      <c r="AH81" s="180">
        <v>0.67</v>
      </c>
      <c r="AI81" s="180">
        <v>0.61</v>
      </c>
      <c r="AJ81" s="180">
        <v>0.52</v>
      </c>
      <c r="AK81" s="180">
        <v>0.44</v>
      </c>
      <c r="AL81" s="180">
        <v>0.34</v>
      </c>
      <c r="AM81" s="180">
        <v>0.26</v>
      </c>
      <c r="AN81" s="160"/>
      <c r="AO81" s="160"/>
      <c r="AP81" s="160"/>
      <c r="AQ81" s="160"/>
    </row>
    <row r="82" spans="27:43" ht="15.75" customHeight="1">
      <c r="AA82" s="202">
        <v>4</v>
      </c>
      <c r="AB82" s="178" t="s">
        <v>211</v>
      </c>
      <c r="AC82" s="180">
        <v>0.95</v>
      </c>
      <c r="AD82" s="180">
        <v>0.92</v>
      </c>
      <c r="AE82" s="180">
        <v>0.85</v>
      </c>
      <c r="AF82" s="180">
        <v>0.73</v>
      </c>
      <c r="AG82" s="180">
        <v>0.67</v>
      </c>
      <c r="AH82" s="180">
        <v>0.61</v>
      </c>
      <c r="AI82" s="180">
        <v>0.5</v>
      </c>
      <c r="AJ82" s="180">
        <v>0.42</v>
      </c>
      <c r="AK82" s="180">
        <v>0.24</v>
      </c>
      <c r="AL82" s="180">
        <v>0.28000000000000003</v>
      </c>
      <c r="AM82" s="180">
        <v>0.21</v>
      </c>
      <c r="AN82" s="160"/>
      <c r="AO82" s="160"/>
      <c r="AP82" s="160"/>
      <c r="AQ82" s="160"/>
    </row>
    <row r="83" spans="27:43" ht="15.75" customHeight="1">
      <c r="AA83" s="202">
        <v>5</v>
      </c>
      <c r="AB83" s="178" t="s">
        <v>212</v>
      </c>
      <c r="AC83" s="180">
        <v>0.85</v>
      </c>
      <c r="AD83" s="180">
        <v>0.83</v>
      </c>
      <c r="AE83" s="180">
        <v>0.76</v>
      </c>
      <c r="AF83" s="180">
        <v>0.66</v>
      </c>
      <c r="AG83" s="180">
        <v>0.6</v>
      </c>
      <c r="AH83" s="180">
        <v>0.51</v>
      </c>
      <c r="AI83" s="180">
        <v>0.43</v>
      </c>
      <c r="AJ83" s="180">
        <v>0.37</v>
      </c>
      <c r="AK83" s="180">
        <v>0.31</v>
      </c>
      <c r="AL83" s="180">
        <v>0.24</v>
      </c>
      <c r="AM83" s="209">
        <v>0.24</v>
      </c>
      <c r="AN83" s="160"/>
      <c r="AO83" s="160"/>
      <c r="AP83" s="160"/>
      <c r="AQ83" s="160"/>
    </row>
    <row r="84" spans="27:43" ht="15.75" customHeight="1">
      <c r="AA84" s="160"/>
      <c r="AB84" s="160"/>
      <c r="AD84" s="160"/>
      <c r="AE84" s="160"/>
      <c r="AF84" s="160"/>
      <c r="AG84" s="160"/>
      <c r="AH84" s="160"/>
      <c r="AI84" s="160"/>
      <c r="AJ84" s="160"/>
      <c r="AK84" s="160"/>
      <c r="AL84" s="160"/>
      <c r="AM84" s="160"/>
      <c r="AN84" s="160"/>
      <c r="AO84" s="160"/>
      <c r="AP84" s="160"/>
      <c r="AQ84" s="160"/>
    </row>
    <row r="85" spans="27:43" ht="15.75" customHeight="1">
      <c r="AA85" s="159" t="s">
        <v>221</v>
      </c>
      <c r="AB85" s="160"/>
      <c r="AC85" s="159"/>
      <c r="AD85" s="160"/>
      <c r="AE85" s="160"/>
      <c r="AF85" s="160"/>
      <c r="AG85" s="160"/>
      <c r="AH85" s="160"/>
      <c r="AI85" s="160"/>
      <c r="AJ85" s="160"/>
      <c r="AK85" s="160"/>
      <c r="AL85" s="160"/>
      <c r="AM85" s="160"/>
      <c r="AN85" s="160"/>
      <c r="AO85" s="160"/>
      <c r="AP85" s="160"/>
      <c r="AQ85" s="160"/>
    </row>
    <row r="86" spans="27:43" ht="15.75" customHeight="1">
      <c r="AB86" s="160"/>
      <c r="AC86" s="160"/>
      <c r="AD86" s="160"/>
      <c r="AE86" s="160"/>
      <c r="AF86" s="160"/>
      <c r="AG86" s="160"/>
      <c r="AH86" s="160"/>
      <c r="AI86" s="160"/>
      <c r="AJ86" s="160"/>
      <c r="AK86" s="160"/>
      <c r="AL86" s="160"/>
      <c r="AM86" s="164" t="s">
        <v>158</v>
      </c>
      <c r="AN86" s="160"/>
      <c r="AO86" s="160"/>
      <c r="AP86" s="160"/>
      <c r="AQ86" s="160"/>
    </row>
    <row r="87" spans="27:43" ht="15.75" customHeight="1">
      <c r="AA87" s="166" t="s">
        <v>9</v>
      </c>
      <c r="AB87" s="197" t="s">
        <v>202</v>
      </c>
      <c r="AC87" s="207" t="s">
        <v>203</v>
      </c>
      <c r="AD87" s="208"/>
      <c r="AE87" s="199"/>
      <c r="AF87" s="199"/>
      <c r="AG87" s="199"/>
      <c r="AH87" s="199"/>
      <c r="AI87" s="199"/>
      <c r="AJ87" s="199"/>
      <c r="AK87" s="199"/>
      <c r="AL87" s="199"/>
      <c r="AM87" s="200"/>
      <c r="AN87" s="160"/>
      <c r="AO87" s="160"/>
      <c r="AP87" s="160"/>
      <c r="AQ87" s="160"/>
    </row>
    <row r="88" spans="27:43" ht="15.75" customHeight="1">
      <c r="AA88" s="171"/>
      <c r="AB88" s="201"/>
      <c r="AC88" s="173">
        <v>7</v>
      </c>
      <c r="AD88" s="189">
        <v>10</v>
      </c>
      <c r="AE88" s="189">
        <v>20</v>
      </c>
      <c r="AF88" s="189">
        <v>50</v>
      </c>
      <c r="AG88" s="189">
        <v>100</v>
      </c>
      <c r="AH88" s="189">
        <v>200</v>
      </c>
      <c r="AI88" s="189">
        <v>500</v>
      </c>
      <c r="AJ88" s="190">
        <v>1000</v>
      </c>
      <c r="AK88" s="190">
        <v>2000</v>
      </c>
      <c r="AL88" s="190">
        <v>5000</v>
      </c>
      <c r="AM88" s="190">
        <v>8000</v>
      </c>
      <c r="AN88" s="160"/>
      <c r="AO88" s="160"/>
      <c r="AP88" s="160"/>
      <c r="AQ88" s="160"/>
    </row>
    <row r="89" spans="27:43" ht="15.75" customHeight="1">
      <c r="AA89" s="202">
        <v>1</v>
      </c>
      <c r="AB89" s="178" t="s">
        <v>206</v>
      </c>
      <c r="AC89" s="203">
        <v>2.8</v>
      </c>
      <c r="AD89" s="204">
        <v>2.8</v>
      </c>
      <c r="AE89" s="204">
        <v>2.58</v>
      </c>
      <c r="AF89" s="204">
        <v>2.21</v>
      </c>
      <c r="AG89" s="204">
        <v>2.0099999999999998</v>
      </c>
      <c r="AH89" s="204">
        <v>1.82</v>
      </c>
      <c r="AI89" s="204">
        <v>1.66</v>
      </c>
      <c r="AJ89" s="204">
        <v>1.45</v>
      </c>
      <c r="AK89" s="204">
        <v>1.23</v>
      </c>
      <c r="AL89" s="204">
        <v>0.95</v>
      </c>
      <c r="AM89" s="204">
        <v>0.73</v>
      </c>
      <c r="AN89" s="160"/>
      <c r="AO89" s="160"/>
      <c r="AP89" s="160"/>
      <c r="AQ89" s="160"/>
    </row>
    <row r="90" spans="27:43" ht="15.75" customHeight="1">
      <c r="AA90" s="202">
        <v>2</v>
      </c>
      <c r="AB90" s="178" t="s">
        <v>208</v>
      </c>
      <c r="AC90" s="203">
        <v>2.72</v>
      </c>
      <c r="AD90" s="204">
        <v>2.72</v>
      </c>
      <c r="AE90" s="204">
        <v>2.15</v>
      </c>
      <c r="AF90" s="204">
        <v>1.83</v>
      </c>
      <c r="AG90" s="204">
        <v>1.67</v>
      </c>
      <c r="AH90" s="204">
        <v>1.51</v>
      </c>
      <c r="AI90" s="204">
        <v>1.38</v>
      </c>
      <c r="AJ90" s="204">
        <v>1.21</v>
      </c>
      <c r="AK90" s="204">
        <v>1.03</v>
      </c>
      <c r="AL90" s="204">
        <v>0.79</v>
      </c>
      <c r="AM90" s="204">
        <v>0.61</v>
      </c>
      <c r="AN90" s="160"/>
      <c r="AO90" s="160"/>
      <c r="AP90" s="160"/>
      <c r="AQ90" s="160"/>
    </row>
    <row r="91" spans="27:43" ht="15.75" customHeight="1">
      <c r="AA91" s="202">
        <v>3</v>
      </c>
      <c r="AB91" s="178" t="s">
        <v>209</v>
      </c>
      <c r="AC91" s="204">
        <v>1.61</v>
      </c>
      <c r="AD91" s="204">
        <v>1.56</v>
      </c>
      <c r="AE91" s="204">
        <v>1.45</v>
      </c>
      <c r="AF91" s="204">
        <v>1.23</v>
      </c>
      <c r="AG91" s="204">
        <v>1.1200000000000001</v>
      </c>
      <c r="AH91" s="204">
        <v>1.03</v>
      </c>
      <c r="AI91" s="204">
        <v>0.93</v>
      </c>
      <c r="AJ91" s="204">
        <v>0.79</v>
      </c>
      <c r="AK91" s="204">
        <v>0.67</v>
      </c>
      <c r="AL91" s="204">
        <v>0.52</v>
      </c>
      <c r="AM91" s="204">
        <v>0.4</v>
      </c>
      <c r="AN91" s="160"/>
      <c r="AO91" s="160"/>
      <c r="AP91" s="160"/>
      <c r="AQ91" s="160"/>
    </row>
    <row r="92" spans="27:43" ht="15.75" customHeight="1">
      <c r="AA92" s="202">
        <v>4</v>
      </c>
      <c r="AB92" s="178" t="s">
        <v>211</v>
      </c>
      <c r="AC92" s="204">
        <v>1.46</v>
      </c>
      <c r="AD92" s="204">
        <v>1.42</v>
      </c>
      <c r="AE92" s="204">
        <v>1.31</v>
      </c>
      <c r="AF92" s="204">
        <v>1.1299999999999999</v>
      </c>
      <c r="AG92" s="204">
        <v>1.03</v>
      </c>
      <c r="AH92" s="204">
        <v>0.92</v>
      </c>
      <c r="AI92" s="204">
        <v>0.77</v>
      </c>
      <c r="AJ92" s="204">
        <v>0.65</v>
      </c>
      <c r="AK92" s="204">
        <v>0.55000000000000004</v>
      </c>
      <c r="AL92" s="204">
        <v>0.42</v>
      </c>
      <c r="AM92" s="204">
        <v>0.32</v>
      </c>
      <c r="AN92" s="160"/>
      <c r="AO92" s="160"/>
      <c r="AP92" s="160"/>
      <c r="AQ92" s="160"/>
    </row>
    <row r="93" spans="27:43" ht="15.75" customHeight="1">
      <c r="AA93" s="202">
        <v>5</v>
      </c>
      <c r="AB93" s="178" t="s">
        <v>212</v>
      </c>
      <c r="AC93" s="204">
        <v>1.31</v>
      </c>
      <c r="AD93" s="204">
        <v>1.28</v>
      </c>
      <c r="AE93" s="204">
        <v>1.18</v>
      </c>
      <c r="AF93" s="204">
        <v>1.01</v>
      </c>
      <c r="AG93" s="204">
        <v>0.92</v>
      </c>
      <c r="AH93" s="204">
        <v>0.78</v>
      </c>
      <c r="AI93" s="204">
        <v>0.66</v>
      </c>
      <c r="AJ93" s="204">
        <v>0.56999999999999995</v>
      </c>
      <c r="AK93" s="204">
        <v>0.48</v>
      </c>
      <c r="AL93" s="204">
        <v>0.37</v>
      </c>
      <c r="AM93" s="203">
        <v>0.37</v>
      </c>
      <c r="AN93" s="160"/>
      <c r="AO93" s="160"/>
      <c r="AP93" s="160"/>
      <c r="AQ93" s="160"/>
    </row>
    <row r="94" spans="27:43" ht="15.75" customHeight="1">
      <c r="AA94" s="160"/>
      <c r="AB94" s="160"/>
      <c r="AC94" s="160"/>
      <c r="AD94" s="160"/>
      <c r="AE94" s="160"/>
      <c r="AF94" s="160"/>
      <c r="AG94" s="160"/>
      <c r="AH94" s="160"/>
      <c r="AI94" s="160"/>
      <c r="AJ94" s="160"/>
      <c r="AK94" s="160"/>
      <c r="AL94" s="160"/>
      <c r="AM94" s="160"/>
      <c r="AN94" s="160"/>
      <c r="AO94" s="160"/>
      <c r="AP94" s="160"/>
      <c r="AQ94" s="160"/>
    </row>
    <row r="95" spans="27:43" ht="15.75" customHeight="1">
      <c r="AA95" s="159" t="s">
        <v>222</v>
      </c>
      <c r="AB95" s="160"/>
      <c r="AC95" s="160"/>
      <c r="AD95" s="160"/>
      <c r="AE95" s="160"/>
      <c r="AF95" s="160"/>
      <c r="AG95" s="160"/>
      <c r="AH95" s="160"/>
      <c r="AI95" s="160"/>
      <c r="AJ95" s="160"/>
      <c r="AK95" s="160"/>
      <c r="AL95" s="160"/>
      <c r="AM95" s="160"/>
      <c r="AN95" s="160"/>
      <c r="AO95" s="160"/>
      <c r="AP95" s="160"/>
      <c r="AQ95" s="160"/>
    </row>
    <row r="96" spans="27:43" ht="15.75" customHeight="1">
      <c r="AA96" s="159" t="s">
        <v>223</v>
      </c>
      <c r="AB96" s="160"/>
      <c r="AC96" s="160"/>
      <c r="AD96" s="160"/>
      <c r="AE96" s="160"/>
      <c r="AF96" s="160"/>
      <c r="AG96" s="160"/>
      <c r="AH96" s="160"/>
      <c r="AI96" s="160"/>
      <c r="AJ96" s="160"/>
      <c r="AK96" s="160"/>
      <c r="AL96" s="160"/>
      <c r="AM96" s="160"/>
      <c r="AN96" s="160"/>
      <c r="AO96" s="160"/>
      <c r="AP96" s="160"/>
      <c r="AQ96" s="160"/>
    </row>
    <row r="97" spans="27:43" ht="15.75" customHeight="1">
      <c r="AB97" s="160"/>
      <c r="AC97" s="160"/>
      <c r="AD97" s="160"/>
      <c r="AE97" s="160"/>
      <c r="AF97" s="160"/>
      <c r="AG97" s="160"/>
      <c r="AH97" s="160"/>
      <c r="AI97" s="160"/>
      <c r="AJ97" s="160"/>
      <c r="AK97" s="160"/>
      <c r="AL97" s="160"/>
      <c r="AM97" s="164" t="s">
        <v>158</v>
      </c>
      <c r="AN97" s="160"/>
      <c r="AO97" s="160"/>
      <c r="AP97" s="160"/>
      <c r="AQ97" s="160"/>
    </row>
    <row r="98" spans="27:43" ht="15.75" customHeight="1">
      <c r="AA98" s="166" t="s">
        <v>9</v>
      </c>
      <c r="AB98" s="197" t="s">
        <v>202</v>
      </c>
      <c r="AC98" s="207" t="s">
        <v>203</v>
      </c>
      <c r="AD98" s="199"/>
      <c r="AE98" s="199"/>
      <c r="AF98" s="199"/>
      <c r="AG98" s="199"/>
      <c r="AH98" s="199"/>
      <c r="AI98" s="199"/>
      <c r="AJ98" s="199"/>
      <c r="AK98" s="199"/>
      <c r="AL98" s="199"/>
      <c r="AM98" s="200"/>
      <c r="AN98" s="160"/>
      <c r="AO98" s="160"/>
      <c r="AP98" s="160"/>
      <c r="AQ98" s="160"/>
    </row>
    <row r="99" spans="27:43" ht="15.75" customHeight="1">
      <c r="AA99" s="171"/>
      <c r="AB99" s="201"/>
      <c r="AC99" s="173">
        <v>7</v>
      </c>
      <c r="AD99" s="189">
        <v>10</v>
      </c>
      <c r="AE99" s="189">
        <v>20</v>
      </c>
      <c r="AF99" s="189">
        <v>50</v>
      </c>
      <c r="AG99" s="189">
        <v>100</v>
      </c>
      <c r="AH99" s="189">
        <v>200</v>
      </c>
      <c r="AI99" s="189">
        <v>500</v>
      </c>
      <c r="AJ99" s="190">
        <v>1000</v>
      </c>
      <c r="AK99" s="190">
        <v>2000</v>
      </c>
      <c r="AL99" s="190">
        <v>5000</v>
      </c>
      <c r="AM99" s="190">
        <v>8000</v>
      </c>
      <c r="AN99" s="160"/>
      <c r="AO99" s="160"/>
      <c r="AP99" s="160"/>
      <c r="AQ99" s="160"/>
    </row>
    <row r="100" spans="27:43" ht="15.75" customHeight="1">
      <c r="AA100" s="202">
        <v>1</v>
      </c>
      <c r="AB100" s="178" t="s">
        <v>206</v>
      </c>
      <c r="AC100" s="203">
        <v>2.59</v>
      </c>
      <c r="AD100" s="204">
        <v>2.59</v>
      </c>
      <c r="AE100" s="204">
        <v>2.25</v>
      </c>
      <c r="AF100" s="204">
        <v>1.91</v>
      </c>
      <c r="AG100" s="204">
        <v>1.72</v>
      </c>
      <c r="AH100" s="204">
        <v>1.57</v>
      </c>
      <c r="AI100" s="204">
        <v>1.34</v>
      </c>
      <c r="AJ100" s="204">
        <v>1.1299999999999999</v>
      </c>
      <c r="AK100" s="204">
        <v>0.96</v>
      </c>
      <c r="AL100" s="204">
        <v>0.74</v>
      </c>
      <c r="AM100" s="204">
        <v>0.56999999999999995</v>
      </c>
      <c r="AN100" s="160"/>
      <c r="AO100" s="160"/>
      <c r="AP100" s="160"/>
      <c r="AQ100" s="160"/>
    </row>
    <row r="101" spans="27:43" ht="15.75" customHeight="1">
      <c r="AA101" s="202">
        <v>2</v>
      </c>
      <c r="AB101" s="178" t="s">
        <v>208</v>
      </c>
      <c r="AC101" s="203">
        <v>2.35</v>
      </c>
      <c r="AD101" s="204">
        <v>2.35</v>
      </c>
      <c r="AE101" s="204">
        <v>2.0499999999999998</v>
      </c>
      <c r="AF101" s="204">
        <v>1.73</v>
      </c>
      <c r="AG101" s="204">
        <v>1.55</v>
      </c>
      <c r="AH101" s="204">
        <v>1.43</v>
      </c>
      <c r="AI101" s="204">
        <v>1.21</v>
      </c>
      <c r="AJ101" s="204">
        <v>1.02</v>
      </c>
      <c r="AK101" s="204">
        <v>0.87</v>
      </c>
      <c r="AL101" s="204">
        <v>0.67</v>
      </c>
      <c r="AM101" s="204">
        <v>0.51</v>
      </c>
      <c r="AN101" s="160"/>
      <c r="AO101" s="160"/>
      <c r="AP101" s="160"/>
      <c r="AQ101" s="160"/>
    </row>
    <row r="102" spans="27:43" ht="15.75" customHeight="1">
      <c r="AA102" s="202">
        <v>3</v>
      </c>
      <c r="AB102" s="178" t="s">
        <v>209</v>
      </c>
      <c r="AC102" s="204">
        <v>2.2200000000000002</v>
      </c>
      <c r="AD102" s="204">
        <v>2.13</v>
      </c>
      <c r="AE102" s="204">
        <v>1.86</v>
      </c>
      <c r="AF102" s="204">
        <v>1.57</v>
      </c>
      <c r="AG102" s="204">
        <v>1.42</v>
      </c>
      <c r="AH102" s="204">
        <v>1.31</v>
      </c>
      <c r="AI102" s="204">
        <v>1.06</v>
      </c>
      <c r="AJ102" s="204">
        <v>0.91</v>
      </c>
      <c r="AK102" s="204">
        <v>0.76</v>
      </c>
      <c r="AL102" s="204">
        <v>0.57999999999999996</v>
      </c>
      <c r="AM102" s="204">
        <v>0.45</v>
      </c>
      <c r="AN102" s="160"/>
      <c r="AO102" s="160"/>
      <c r="AP102" s="160"/>
      <c r="AQ102" s="160"/>
    </row>
    <row r="103" spans="27:43" ht="15.75" customHeight="1">
      <c r="AA103" s="202">
        <v>4</v>
      </c>
      <c r="AB103" s="178" t="s">
        <v>211</v>
      </c>
      <c r="AC103" s="204">
        <v>2.0099999999999998</v>
      </c>
      <c r="AD103" s="204">
        <v>1.93</v>
      </c>
      <c r="AE103" s="204">
        <v>1.67</v>
      </c>
      <c r="AF103" s="204">
        <v>1.4</v>
      </c>
      <c r="AG103" s="204">
        <v>1.27</v>
      </c>
      <c r="AH103" s="204">
        <v>1.08</v>
      </c>
      <c r="AI103" s="204">
        <v>0.92</v>
      </c>
      <c r="AJ103" s="204">
        <v>0.78</v>
      </c>
      <c r="AK103" s="204">
        <v>0.67</v>
      </c>
      <c r="AL103" s="204">
        <v>0.51</v>
      </c>
      <c r="AM103" s="204">
        <v>0.4</v>
      </c>
      <c r="AN103" s="160"/>
      <c r="AO103" s="160"/>
      <c r="AP103" s="160"/>
      <c r="AQ103" s="160"/>
    </row>
    <row r="104" spans="27:43" ht="15.75" customHeight="1">
      <c r="AA104" s="202">
        <v>5</v>
      </c>
      <c r="AB104" s="178" t="s">
        <v>212</v>
      </c>
      <c r="AC104" s="204">
        <v>1.77</v>
      </c>
      <c r="AD104" s="204">
        <v>1.7</v>
      </c>
      <c r="AE104" s="204">
        <v>1.49</v>
      </c>
      <c r="AF104" s="204">
        <v>1.1000000000000001</v>
      </c>
      <c r="AG104" s="204">
        <v>0.93</v>
      </c>
      <c r="AH104" s="204">
        <v>0.8</v>
      </c>
      <c r="AI104" s="204">
        <v>0.67</v>
      </c>
      <c r="AJ104" s="204">
        <v>0.57999999999999996</v>
      </c>
      <c r="AK104" s="204">
        <v>0.49</v>
      </c>
      <c r="AL104" s="204">
        <v>0.38</v>
      </c>
      <c r="AM104" s="203">
        <v>0.38</v>
      </c>
      <c r="AN104" s="160"/>
      <c r="AO104" s="160"/>
      <c r="AP104" s="160"/>
      <c r="AQ104" s="160"/>
    </row>
    <row r="105" spans="27:43" ht="15.75" customHeight="1">
      <c r="AA105" s="160"/>
      <c r="AB105" s="160"/>
      <c r="AD105" s="160"/>
      <c r="AE105" s="160"/>
      <c r="AF105" s="160"/>
      <c r="AG105" s="160"/>
      <c r="AH105" s="160"/>
      <c r="AI105" s="160"/>
      <c r="AJ105" s="160"/>
      <c r="AK105" s="160"/>
      <c r="AL105" s="160"/>
      <c r="AM105" s="160"/>
      <c r="AN105" s="160"/>
      <c r="AO105" s="160"/>
      <c r="AP105" s="160"/>
      <c r="AQ105" s="160"/>
    </row>
    <row r="106" spans="27:43" ht="15.75" customHeight="1">
      <c r="AA106" s="159" t="s">
        <v>224</v>
      </c>
      <c r="AB106" s="160"/>
      <c r="AC106" s="159"/>
      <c r="AD106" s="160"/>
      <c r="AE106" s="160"/>
      <c r="AF106" s="160"/>
      <c r="AG106" s="160"/>
      <c r="AH106" s="160"/>
      <c r="AI106" s="160"/>
      <c r="AJ106" s="160"/>
      <c r="AK106" s="160"/>
      <c r="AL106" s="160"/>
      <c r="AM106" s="160"/>
      <c r="AN106" s="160"/>
      <c r="AO106" s="160"/>
      <c r="AP106" s="160"/>
      <c r="AQ106" s="160"/>
    </row>
    <row r="107" spans="27:43" ht="15.75" customHeight="1">
      <c r="AB107" s="160"/>
      <c r="AC107" s="160"/>
      <c r="AD107" s="160"/>
      <c r="AE107" s="160"/>
      <c r="AF107" s="160"/>
      <c r="AG107" s="160"/>
      <c r="AH107" s="160"/>
      <c r="AI107" s="160"/>
      <c r="AJ107" s="160"/>
      <c r="AK107" s="160"/>
      <c r="AL107" s="160"/>
      <c r="AM107" s="164" t="s">
        <v>158</v>
      </c>
      <c r="AN107" s="160"/>
      <c r="AO107" s="160"/>
      <c r="AP107" s="160"/>
      <c r="AQ107" s="160"/>
    </row>
    <row r="108" spans="27:43" ht="15.75" customHeight="1">
      <c r="AA108" s="166" t="s">
        <v>9</v>
      </c>
      <c r="AB108" s="197" t="s">
        <v>202</v>
      </c>
      <c r="AC108" s="207" t="s">
        <v>203</v>
      </c>
      <c r="AD108" s="208"/>
      <c r="AE108" s="199"/>
      <c r="AF108" s="199"/>
      <c r="AG108" s="199"/>
      <c r="AH108" s="199"/>
      <c r="AI108" s="199"/>
      <c r="AJ108" s="199"/>
      <c r="AK108" s="199"/>
      <c r="AL108" s="199"/>
      <c r="AM108" s="200"/>
      <c r="AN108" s="160"/>
      <c r="AO108" s="160"/>
      <c r="AP108" s="160"/>
      <c r="AQ108" s="160"/>
    </row>
    <row r="109" spans="27:43" ht="15.75" customHeight="1">
      <c r="AA109" s="171"/>
      <c r="AB109" s="201"/>
      <c r="AC109" s="173">
        <v>7</v>
      </c>
      <c r="AD109" s="192">
        <v>10</v>
      </c>
      <c r="AE109" s="192">
        <v>20</v>
      </c>
      <c r="AF109" s="192">
        <v>50</v>
      </c>
      <c r="AG109" s="192">
        <v>100</v>
      </c>
      <c r="AH109" s="192">
        <v>200</v>
      </c>
      <c r="AI109" s="192">
        <v>500</v>
      </c>
      <c r="AJ109" s="192">
        <v>1000</v>
      </c>
      <c r="AK109" s="192">
        <v>2000</v>
      </c>
      <c r="AL109" s="192">
        <v>5000</v>
      </c>
      <c r="AM109" s="192">
        <v>8000</v>
      </c>
      <c r="AN109" s="160"/>
      <c r="AO109" s="160"/>
      <c r="AP109" s="160"/>
      <c r="AQ109" s="160"/>
    </row>
    <row r="110" spans="27:43" ht="15.75" customHeight="1">
      <c r="AA110" s="202">
        <v>1</v>
      </c>
      <c r="AB110" s="192" t="s">
        <v>206</v>
      </c>
      <c r="AC110" s="210">
        <v>4.01</v>
      </c>
      <c r="AD110" s="192">
        <v>4.01</v>
      </c>
      <c r="AE110" s="192">
        <v>3.48</v>
      </c>
      <c r="AF110" s="192">
        <v>2.96</v>
      </c>
      <c r="AG110" s="192">
        <v>2.66</v>
      </c>
      <c r="AH110" s="192">
        <v>2.4300000000000002</v>
      </c>
      <c r="AI110" s="192">
        <v>2.0699999999999998</v>
      </c>
      <c r="AJ110" s="192">
        <v>1.75</v>
      </c>
      <c r="AK110" s="192">
        <v>1.48</v>
      </c>
      <c r="AL110" s="192">
        <v>1.1399999999999999</v>
      </c>
      <c r="AM110" s="192">
        <v>0.88</v>
      </c>
      <c r="AN110" s="160"/>
      <c r="AO110" s="160"/>
      <c r="AP110" s="160"/>
      <c r="AQ110" s="160"/>
    </row>
    <row r="111" spans="27:43" ht="15.75" customHeight="1">
      <c r="AA111" s="202">
        <v>2</v>
      </c>
      <c r="AB111" s="192" t="s">
        <v>208</v>
      </c>
      <c r="AC111" s="210">
        <v>3.64</v>
      </c>
      <c r="AD111" s="192">
        <v>3.64</v>
      </c>
      <c r="AE111" s="192">
        <v>3.17</v>
      </c>
      <c r="AF111" s="192">
        <v>2.68</v>
      </c>
      <c r="AG111" s="204">
        <v>2.4</v>
      </c>
      <c r="AH111" s="192">
        <v>2.21</v>
      </c>
      <c r="AI111" s="192">
        <v>1.87</v>
      </c>
      <c r="AJ111" s="192">
        <v>1.58</v>
      </c>
      <c r="AK111" s="192">
        <v>1.34</v>
      </c>
      <c r="AL111" s="192">
        <v>1.03</v>
      </c>
      <c r="AM111" s="192">
        <v>0.79</v>
      </c>
      <c r="AN111" s="160"/>
      <c r="AO111" s="160"/>
      <c r="AP111" s="160"/>
      <c r="AQ111" s="160"/>
    </row>
    <row r="112" spans="27:43" ht="15.75" customHeight="1">
      <c r="AA112" s="202">
        <v>3</v>
      </c>
      <c r="AB112" s="192" t="s">
        <v>209</v>
      </c>
      <c r="AC112" s="192">
        <v>3.42</v>
      </c>
      <c r="AD112" s="192">
        <v>3.29</v>
      </c>
      <c r="AE112" s="192">
        <v>2.87</v>
      </c>
      <c r="AF112" s="192">
        <v>2.41</v>
      </c>
      <c r="AG112" s="192">
        <v>2.19</v>
      </c>
      <c r="AH112" s="192">
        <v>2.0099999999999998</v>
      </c>
      <c r="AI112" s="192">
        <v>1.62</v>
      </c>
      <c r="AJ112" s="192">
        <v>1.38</v>
      </c>
      <c r="AK112" s="192">
        <v>1.17</v>
      </c>
      <c r="AL112" s="204">
        <v>0.9</v>
      </c>
      <c r="AM112" s="192">
        <v>0.51</v>
      </c>
      <c r="AN112" s="160"/>
      <c r="AO112" s="160"/>
      <c r="AP112" s="160"/>
      <c r="AQ112" s="160"/>
    </row>
    <row r="113" spans="27:43" ht="15.75" customHeight="1">
      <c r="AA113" s="202">
        <v>4</v>
      </c>
      <c r="AB113" s="192" t="s">
        <v>211</v>
      </c>
      <c r="AC113" s="192">
        <v>3.11</v>
      </c>
      <c r="AD113" s="192">
        <v>2.98</v>
      </c>
      <c r="AE113" s="192">
        <v>2.58</v>
      </c>
      <c r="AF113" s="192">
        <v>2.16</v>
      </c>
      <c r="AG113" s="192">
        <v>1.96</v>
      </c>
      <c r="AH113" s="192">
        <v>1.67</v>
      </c>
      <c r="AI113" s="192">
        <v>1.42</v>
      </c>
      <c r="AJ113" s="192">
        <v>1.21</v>
      </c>
      <c r="AK113" s="192">
        <v>1.03</v>
      </c>
      <c r="AL113" s="192">
        <v>0.79</v>
      </c>
      <c r="AM113" s="192">
        <v>0.46</v>
      </c>
      <c r="AN113" s="160"/>
      <c r="AO113" s="160"/>
      <c r="AP113" s="160"/>
      <c r="AQ113" s="160"/>
    </row>
    <row r="114" spans="27:43" ht="15.75" customHeight="1">
      <c r="AA114" s="202">
        <v>5</v>
      </c>
      <c r="AB114" s="192" t="s">
        <v>212</v>
      </c>
      <c r="AC114" s="192">
        <v>2.74</v>
      </c>
      <c r="AD114" s="192">
        <v>2.63</v>
      </c>
      <c r="AE114" s="192">
        <v>2.31</v>
      </c>
      <c r="AF114" s="204">
        <v>1.7</v>
      </c>
      <c r="AG114" s="192">
        <v>1.44</v>
      </c>
      <c r="AH114" s="192">
        <v>1.23</v>
      </c>
      <c r="AI114" s="192">
        <v>1.04</v>
      </c>
      <c r="AJ114" s="192">
        <v>0.89</v>
      </c>
      <c r="AK114" s="192">
        <v>0.75</v>
      </c>
      <c r="AL114" s="192">
        <v>0.57999999999999996</v>
      </c>
      <c r="AM114" s="210">
        <v>0.57999999999999996</v>
      </c>
      <c r="AN114" s="160"/>
      <c r="AO114" s="160"/>
      <c r="AP114" s="160"/>
      <c r="AQ114" s="160"/>
    </row>
    <row r="115" spans="27:43" ht="15.75" customHeight="1">
      <c r="AA115" s="160"/>
      <c r="AB115" s="160"/>
      <c r="AC115" s="160"/>
      <c r="AD115" s="160"/>
      <c r="AE115" s="160"/>
      <c r="AF115" s="160"/>
      <c r="AG115" s="160"/>
      <c r="AH115" s="160"/>
      <c r="AI115" s="160"/>
      <c r="AJ115" s="160"/>
      <c r="AK115" s="160"/>
      <c r="AL115" s="160"/>
      <c r="AM115" s="160"/>
      <c r="AN115" s="160"/>
      <c r="AO115" s="160"/>
      <c r="AP115" s="160"/>
      <c r="AQ115" s="160"/>
    </row>
    <row r="116" spans="27:43" ht="15.75" customHeight="1">
      <c r="AA116" s="159" t="s">
        <v>225</v>
      </c>
      <c r="AB116" s="160"/>
      <c r="AC116" s="160"/>
      <c r="AD116" s="160"/>
      <c r="AE116" s="160"/>
      <c r="AF116" s="160"/>
      <c r="AG116" s="160"/>
      <c r="AH116" s="160"/>
      <c r="AI116" s="160"/>
      <c r="AJ116" s="160"/>
      <c r="AK116" s="160"/>
      <c r="AL116" s="160"/>
      <c r="AM116" s="160"/>
      <c r="AN116" s="160"/>
      <c r="AO116" s="160"/>
      <c r="AP116" s="160"/>
      <c r="AQ116" s="160"/>
    </row>
    <row r="117" spans="27:43" ht="15.75" customHeight="1">
      <c r="AA117" s="159" t="s">
        <v>226</v>
      </c>
      <c r="AB117" s="160"/>
      <c r="AC117" s="160"/>
      <c r="AD117" s="160"/>
      <c r="AE117" s="160"/>
      <c r="AF117" s="160"/>
      <c r="AG117" s="160"/>
      <c r="AH117" s="160"/>
      <c r="AI117" s="160"/>
      <c r="AJ117" s="160"/>
      <c r="AK117" s="160"/>
      <c r="AL117" s="160"/>
      <c r="AM117" s="160"/>
      <c r="AN117" s="160"/>
      <c r="AO117" s="160"/>
      <c r="AP117" s="160"/>
      <c r="AQ117" s="160"/>
    </row>
    <row r="118" spans="27:43" ht="15.75" customHeight="1">
      <c r="AB118" s="160"/>
      <c r="AC118" s="160"/>
      <c r="AD118" s="160"/>
      <c r="AE118" s="160"/>
      <c r="AF118" s="160"/>
      <c r="AG118" s="160"/>
      <c r="AH118" s="160"/>
      <c r="AI118" s="160"/>
      <c r="AJ118" s="160"/>
      <c r="AK118" s="160"/>
      <c r="AL118" s="160"/>
      <c r="AM118" s="164" t="s">
        <v>158</v>
      </c>
      <c r="AN118" s="160"/>
      <c r="AO118" s="160"/>
      <c r="AP118" s="160"/>
      <c r="AQ118" s="160"/>
    </row>
    <row r="119" spans="27:43" ht="15.75" customHeight="1">
      <c r="AA119" s="166" t="s">
        <v>9</v>
      </c>
      <c r="AB119" s="197" t="s">
        <v>202</v>
      </c>
      <c r="AC119" s="207" t="s">
        <v>203</v>
      </c>
      <c r="AD119" s="208"/>
      <c r="AE119" s="199"/>
      <c r="AF119" s="199"/>
      <c r="AG119" s="199"/>
      <c r="AH119" s="199"/>
      <c r="AI119" s="199"/>
      <c r="AJ119" s="199"/>
      <c r="AK119" s="199"/>
      <c r="AL119" s="199"/>
      <c r="AM119" s="200"/>
      <c r="AN119" s="160"/>
      <c r="AO119" s="160"/>
      <c r="AP119" s="160"/>
      <c r="AQ119" s="160"/>
    </row>
    <row r="120" spans="27:43" ht="15.75" customHeight="1">
      <c r="AA120" s="171"/>
      <c r="AB120" s="201"/>
      <c r="AC120" s="173">
        <v>7</v>
      </c>
      <c r="AD120" s="189">
        <v>10</v>
      </c>
      <c r="AE120" s="189">
        <v>20</v>
      </c>
      <c r="AF120" s="189">
        <v>50</v>
      </c>
      <c r="AG120" s="189">
        <v>100</v>
      </c>
      <c r="AH120" s="189">
        <v>200</v>
      </c>
      <c r="AI120" s="189">
        <v>500</v>
      </c>
      <c r="AJ120" s="190">
        <v>1000</v>
      </c>
      <c r="AK120" s="190">
        <v>2000</v>
      </c>
      <c r="AL120" s="190">
        <v>5000</v>
      </c>
      <c r="AM120" s="190">
        <v>8000</v>
      </c>
      <c r="AN120" s="160"/>
      <c r="AO120" s="160"/>
      <c r="AP120" s="160"/>
      <c r="AQ120" s="160"/>
    </row>
    <row r="121" spans="27:43" ht="15.75" customHeight="1">
      <c r="AA121" s="202">
        <v>1</v>
      </c>
      <c r="AB121" s="178" t="s">
        <v>206</v>
      </c>
      <c r="AC121" s="209">
        <v>1.95</v>
      </c>
      <c r="AD121" s="180">
        <v>1.95</v>
      </c>
      <c r="AE121" s="180">
        <v>1.69</v>
      </c>
      <c r="AF121" s="180">
        <v>1.42</v>
      </c>
      <c r="AG121" s="180">
        <v>1.29</v>
      </c>
      <c r="AH121" s="180">
        <v>1.18</v>
      </c>
      <c r="AI121" s="180">
        <v>0.99</v>
      </c>
      <c r="AJ121" s="180">
        <v>0.84</v>
      </c>
      <c r="AK121" s="180">
        <v>0.72</v>
      </c>
      <c r="AL121" s="180">
        <v>0.55000000000000004</v>
      </c>
      <c r="AM121" s="180">
        <v>0.42</v>
      </c>
      <c r="AN121" s="160"/>
      <c r="AO121" s="160"/>
      <c r="AP121" s="160"/>
      <c r="AQ121" s="160"/>
    </row>
    <row r="122" spans="27:43" ht="15.75" customHeight="1">
      <c r="AA122" s="202">
        <v>2</v>
      </c>
      <c r="AB122" s="178" t="s">
        <v>208</v>
      </c>
      <c r="AC122" s="209">
        <v>1.77</v>
      </c>
      <c r="AD122" s="180">
        <v>1.77</v>
      </c>
      <c r="AE122" s="180">
        <v>1.54</v>
      </c>
      <c r="AF122" s="180">
        <v>1.31</v>
      </c>
      <c r="AG122" s="180">
        <v>1.17</v>
      </c>
      <c r="AH122" s="180">
        <v>1.07</v>
      </c>
      <c r="AI122" s="180">
        <v>0.85</v>
      </c>
      <c r="AJ122" s="180">
        <v>0.72</v>
      </c>
      <c r="AK122" s="180">
        <v>0.61</v>
      </c>
      <c r="AL122" s="180">
        <v>0.47</v>
      </c>
      <c r="AM122" s="180">
        <v>0.31</v>
      </c>
      <c r="AN122" s="160"/>
      <c r="AO122" s="160"/>
      <c r="AP122" s="160"/>
      <c r="AQ122" s="160"/>
    </row>
    <row r="123" spans="27:43" ht="15.75" customHeight="1">
      <c r="AA123" s="202">
        <v>3</v>
      </c>
      <c r="AB123" s="178" t="s">
        <v>209</v>
      </c>
      <c r="AC123" s="180">
        <v>1.68</v>
      </c>
      <c r="AD123" s="180">
        <v>1.61</v>
      </c>
      <c r="AE123" s="180">
        <v>1.41</v>
      </c>
      <c r="AF123" s="180">
        <v>1.18</v>
      </c>
      <c r="AG123" s="180">
        <v>1.06</v>
      </c>
      <c r="AH123" s="180">
        <v>0.98</v>
      </c>
      <c r="AI123" s="180">
        <v>0.78</v>
      </c>
      <c r="AJ123" s="180">
        <v>0.67</v>
      </c>
      <c r="AK123" s="180">
        <v>0.56999999999999995</v>
      </c>
      <c r="AL123" s="180">
        <v>0.44</v>
      </c>
      <c r="AM123" s="180">
        <v>0.28999999999999998</v>
      </c>
      <c r="AN123" s="160"/>
      <c r="AO123" s="160"/>
      <c r="AP123" s="160"/>
      <c r="AQ123" s="160"/>
    </row>
    <row r="124" spans="27:43" ht="15.75" customHeight="1">
      <c r="AA124" s="202">
        <v>4</v>
      </c>
      <c r="AB124" s="178" t="s">
        <v>211</v>
      </c>
      <c r="AC124" s="204">
        <v>1.5</v>
      </c>
      <c r="AD124" s="180">
        <v>1.44</v>
      </c>
      <c r="AE124" s="180">
        <v>1.26</v>
      </c>
      <c r="AF124" s="180">
        <v>1.05</v>
      </c>
      <c r="AG124" s="180">
        <v>0.96</v>
      </c>
      <c r="AH124" s="180">
        <v>0.84</v>
      </c>
      <c r="AI124" s="180">
        <v>0.76</v>
      </c>
      <c r="AJ124" s="180">
        <v>0.64</v>
      </c>
      <c r="AK124" s="180">
        <v>0.55000000000000004</v>
      </c>
      <c r="AL124" s="180">
        <v>0.42</v>
      </c>
      <c r="AM124" s="180">
        <v>0.27</v>
      </c>
      <c r="AN124" s="160"/>
      <c r="AO124" s="160"/>
      <c r="AP124" s="160"/>
      <c r="AQ124" s="160"/>
    </row>
    <row r="125" spans="27:43" ht="15.75" customHeight="1">
      <c r="AA125" s="202">
        <v>5</v>
      </c>
      <c r="AB125" s="178" t="s">
        <v>212</v>
      </c>
      <c r="AC125" s="180">
        <v>1.34</v>
      </c>
      <c r="AD125" s="180">
        <v>1.28</v>
      </c>
      <c r="AE125" s="180">
        <v>1.1100000000000001</v>
      </c>
      <c r="AF125" s="180">
        <v>0.88</v>
      </c>
      <c r="AG125" s="180">
        <v>0.8</v>
      </c>
      <c r="AH125" s="180">
        <v>0.6</v>
      </c>
      <c r="AI125" s="180">
        <v>0.57999999999999996</v>
      </c>
      <c r="AJ125" s="180">
        <v>0.5</v>
      </c>
      <c r="AK125" s="180">
        <v>0.42</v>
      </c>
      <c r="AL125" s="180">
        <v>0.32</v>
      </c>
      <c r="AM125" s="209">
        <v>0.32</v>
      </c>
      <c r="AN125" s="160"/>
      <c r="AO125" s="160"/>
      <c r="AP125" s="160"/>
      <c r="AQ125" s="160"/>
    </row>
    <row r="126" spans="27:43" ht="15.75" customHeight="1">
      <c r="AA126" s="160"/>
      <c r="AB126" s="160"/>
      <c r="AD126" s="160"/>
      <c r="AE126" s="160"/>
      <c r="AF126" s="160"/>
      <c r="AG126" s="160"/>
      <c r="AH126" s="160"/>
      <c r="AI126" s="160"/>
      <c r="AJ126" s="160"/>
      <c r="AK126" s="160"/>
      <c r="AL126" s="160"/>
      <c r="AM126" s="160"/>
      <c r="AN126" s="160"/>
      <c r="AO126" s="160"/>
      <c r="AP126" s="160"/>
      <c r="AQ126" s="160"/>
    </row>
    <row r="127" spans="27:43" ht="15.75" customHeight="1">
      <c r="AA127" s="159" t="s">
        <v>227</v>
      </c>
      <c r="AB127" s="160"/>
      <c r="AC127" s="159"/>
      <c r="AD127" s="160"/>
      <c r="AE127" s="160"/>
      <c r="AF127" s="160"/>
      <c r="AG127" s="160"/>
      <c r="AH127" s="160"/>
      <c r="AI127" s="160"/>
      <c r="AJ127" s="160"/>
      <c r="AK127" s="160"/>
      <c r="AL127" s="160"/>
      <c r="AM127" s="160"/>
      <c r="AN127" s="160"/>
      <c r="AO127" s="160"/>
      <c r="AP127" s="160"/>
      <c r="AQ127" s="160"/>
    </row>
    <row r="128" spans="27:43" ht="15.75" customHeight="1">
      <c r="AB128" s="160"/>
      <c r="AC128" s="160"/>
      <c r="AD128" s="160"/>
      <c r="AE128" s="160"/>
      <c r="AF128" s="160"/>
      <c r="AG128" s="160"/>
      <c r="AH128" s="160"/>
      <c r="AI128" s="160"/>
      <c r="AJ128" s="160"/>
      <c r="AK128" s="160"/>
      <c r="AL128" s="160"/>
      <c r="AM128" s="164" t="s">
        <v>158</v>
      </c>
      <c r="AN128" s="160"/>
      <c r="AO128" s="160"/>
      <c r="AP128" s="160"/>
      <c r="AQ128" s="160"/>
    </row>
    <row r="129" spans="27:43" ht="15.75" customHeight="1">
      <c r="AA129" s="166" t="s">
        <v>9</v>
      </c>
      <c r="AB129" s="197" t="s">
        <v>202</v>
      </c>
      <c r="AC129" s="207" t="s">
        <v>203</v>
      </c>
      <c r="AD129" s="208"/>
      <c r="AE129" s="199"/>
      <c r="AF129" s="199"/>
      <c r="AG129" s="199"/>
      <c r="AH129" s="199"/>
      <c r="AI129" s="199"/>
      <c r="AJ129" s="199"/>
      <c r="AK129" s="199"/>
      <c r="AL129" s="199"/>
      <c r="AM129" s="200"/>
      <c r="AN129" s="160"/>
      <c r="AO129" s="160"/>
      <c r="AP129" s="160"/>
      <c r="AQ129" s="160"/>
    </row>
    <row r="130" spans="27:43" ht="15.75" customHeight="1">
      <c r="AA130" s="171"/>
      <c r="AB130" s="201"/>
      <c r="AC130" s="173">
        <v>7</v>
      </c>
      <c r="AD130" s="189">
        <v>10</v>
      </c>
      <c r="AE130" s="189">
        <v>20</v>
      </c>
      <c r="AF130" s="189">
        <v>50</v>
      </c>
      <c r="AG130" s="189">
        <v>100</v>
      </c>
      <c r="AH130" s="189">
        <v>200</v>
      </c>
      <c r="AI130" s="189">
        <v>500</v>
      </c>
      <c r="AJ130" s="190">
        <v>1000</v>
      </c>
      <c r="AK130" s="190">
        <v>2000</v>
      </c>
      <c r="AL130" s="190">
        <v>5000</v>
      </c>
      <c r="AM130" s="190">
        <v>8000</v>
      </c>
      <c r="AN130" s="160"/>
      <c r="AO130" s="160"/>
      <c r="AP130" s="160"/>
      <c r="AQ130" s="160"/>
    </row>
    <row r="131" spans="27:43" ht="15.75" customHeight="1">
      <c r="AA131" s="202">
        <v>1</v>
      </c>
      <c r="AB131" s="178" t="s">
        <v>206</v>
      </c>
      <c r="AC131" s="209">
        <v>3.02</v>
      </c>
      <c r="AD131" s="180">
        <v>3.02</v>
      </c>
      <c r="AE131" s="180">
        <v>2.61</v>
      </c>
      <c r="AF131" s="180">
        <v>2.2000000000000002</v>
      </c>
      <c r="AG131" s="180">
        <v>1.99</v>
      </c>
      <c r="AH131" s="180">
        <v>1.82</v>
      </c>
      <c r="AI131" s="180">
        <v>1.53</v>
      </c>
      <c r="AJ131" s="180">
        <v>1.3</v>
      </c>
      <c r="AK131" s="180">
        <v>1.1100000000000001</v>
      </c>
      <c r="AL131" s="180">
        <v>0.85</v>
      </c>
      <c r="AM131" s="180">
        <v>0.65</v>
      </c>
      <c r="AN131" s="160"/>
      <c r="AO131" s="160"/>
      <c r="AP131" s="160"/>
      <c r="AQ131" s="160"/>
    </row>
    <row r="132" spans="27:43" ht="15.75" customHeight="1">
      <c r="AA132" s="202">
        <v>2</v>
      </c>
      <c r="AB132" s="178" t="s">
        <v>208</v>
      </c>
      <c r="AC132" s="209">
        <v>2.74</v>
      </c>
      <c r="AD132" s="180">
        <v>2.74</v>
      </c>
      <c r="AE132" s="180">
        <v>2.38</v>
      </c>
      <c r="AF132" s="180">
        <v>2.0299999999999998</v>
      </c>
      <c r="AG132" s="180">
        <v>1.81</v>
      </c>
      <c r="AH132" s="180">
        <v>1.65</v>
      </c>
      <c r="AI132" s="180">
        <v>1.31</v>
      </c>
      <c r="AJ132" s="180">
        <v>1.1100000000000001</v>
      </c>
      <c r="AK132" s="180">
        <v>0.94</v>
      </c>
      <c r="AL132" s="180">
        <v>0.72</v>
      </c>
      <c r="AM132" s="180">
        <v>0.56000000000000005</v>
      </c>
      <c r="AN132" s="160"/>
      <c r="AO132" s="160"/>
      <c r="AP132" s="160"/>
      <c r="AQ132" s="160"/>
    </row>
    <row r="133" spans="27:43" ht="15.75" customHeight="1">
      <c r="AA133" s="202">
        <v>3</v>
      </c>
      <c r="AB133" s="178" t="s">
        <v>209</v>
      </c>
      <c r="AC133" s="180">
        <v>2.58</v>
      </c>
      <c r="AD133" s="180">
        <v>2.48</v>
      </c>
      <c r="AE133" s="180">
        <v>2.15</v>
      </c>
      <c r="AF133" s="180">
        <v>1.81</v>
      </c>
      <c r="AG133" s="180">
        <v>1.64</v>
      </c>
      <c r="AH133" s="180">
        <v>1.51</v>
      </c>
      <c r="AI133" s="180">
        <v>1.21</v>
      </c>
      <c r="AJ133" s="180">
        <v>1.02</v>
      </c>
      <c r="AK133" s="180">
        <v>0.87</v>
      </c>
      <c r="AL133" s="180">
        <v>0.67</v>
      </c>
      <c r="AM133" s="180">
        <v>0.51</v>
      </c>
      <c r="AN133" s="160"/>
      <c r="AO133" s="160"/>
      <c r="AP133" s="160"/>
      <c r="AQ133" s="160"/>
    </row>
    <row r="134" spans="27:43" ht="15.75" customHeight="1">
      <c r="AA134" s="202">
        <v>4</v>
      </c>
      <c r="AB134" s="178" t="s">
        <v>211</v>
      </c>
      <c r="AC134" s="180">
        <v>2.3199999999999998</v>
      </c>
      <c r="AD134" s="180">
        <v>2.23</v>
      </c>
      <c r="AE134" s="180">
        <v>1.94</v>
      </c>
      <c r="AF134" s="180">
        <v>1.62</v>
      </c>
      <c r="AG134" s="180">
        <v>1.48</v>
      </c>
      <c r="AH134" s="180">
        <v>1.29</v>
      </c>
      <c r="AI134" s="180">
        <v>1.17</v>
      </c>
      <c r="AJ134" s="180">
        <v>0.99</v>
      </c>
      <c r="AK134" s="180">
        <v>0.84</v>
      </c>
      <c r="AL134" s="180">
        <v>0.64</v>
      </c>
      <c r="AM134" s="180">
        <v>0.41</v>
      </c>
      <c r="AN134" s="160"/>
      <c r="AO134" s="160"/>
      <c r="AP134" s="160"/>
      <c r="AQ134" s="160"/>
    </row>
    <row r="135" spans="27:43" ht="15.75" customHeight="1">
      <c r="AA135" s="202">
        <v>5</v>
      </c>
      <c r="AB135" s="178" t="s">
        <v>212</v>
      </c>
      <c r="AC135" s="180">
        <v>2.0699999999999998</v>
      </c>
      <c r="AD135" s="180">
        <v>1.98</v>
      </c>
      <c r="AE135" s="180">
        <v>1.72</v>
      </c>
      <c r="AF135" s="180">
        <v>1.35</v>
      </c>
      <c r="AG135" s="180">
        <v>1.23</v>
      </c>
      <c r="AH135" s="180">
        <v>0.92</v>
      </c>
      <c r="AI135" s="180">
        <v>0.89</v>
      </c>
      <c r="AJ135" s="180">
        <v>0.76</v>
      </c>
      <c r="AK135" s="180">
        <v>0.64</v>
      </c>
      <c r="AL135" s="180">
        <v>0.49</v>
      </c>
      <c r="AM135" s="209">
        <v>0.49</v>
      </c>
      <c r="AN135" s="160"/>
      <c r="AO135" s="160"/>
      <c r="AP135" s="160"/>
      <c r="AQ135" s="160"/>
    </row>
    <row r="136" spans="27:43" ht="15.75" customHeight="1">
      <c r="AA136" s="160"/>
      <c r="AB136" s="160"/>
      <c r="AC136" s="160"/>
      <c r="AD136" s="160"/>
      <c r="AE136" s="160"/>
      <c r="AF136" s="160"/>
      <c r="AG136" s="160"/>
      <c r="AH136" s="160"/>
      <c r="AI136" s="160"/>
      <c r="AJ136" s="160"/>
      <c r="AK136" s="160"/>
      <c r="AL136" s="160"/>
      <c r="AM136" s="160"/>
      <c r="AN136" s="160"/>
      <c r="AO136" s="160"/>
      <c r="AP136" s="160"/>
      <c r="AQ136" s="160"/>
    </row>
    <row r="137" spans="27:43" ht="15.75" customHeight="1">
      <c r="AA137" s="159" t="s">
        <v>228</v>
      </c>
      <c r="AB137" s="160"/>
      <c r="AC137" s="160"/>
      <c r="AE137" s="160"/>
      <c r="AF137" s="160"/>
      <c r="AG137" s="160"/>
      <c r="AH137" s="160"/>
      <c r="AI137" s="160"/>
      <c r="AJ137" s="160"/>
      <c r="AK137" s="160"/>
      <c r="AL137" s="160"/>
      <c r="AM137" s="160"/>
      <c r="AN137" s="160"/>
      <c r="AO137" s="160"/>
      <c r="AP137" s="160"/>
      <c r="AQ137" s="160"/>
    </row>
    <row r="138" spans="27:43" ht="15.75" customHeight="1">
      <c r="AB138" s="160"/>
      <c r="AC138" s="160"/>
      <c r="AD138" s="160"/>
      <c r="AE138" s="160"/>
      <c r="AF138" s="160"/>
      <c r="AG138" s="160"/>
      <c r="AH138" s="160"/>
      <c r="AI138" s="160"/>
      <c r="AJ138" s="160"/>
      <c r="AK138" s="160"/>
      <c r="AL138" s="160"/>
      <c r="AM138" s="159"/>
      <c r="AN138" s="164" t="s">
        <v>158</v>
      </c>
      <c r="AO138" s="160"/>
      <c r="AP138" s="160"/>
      <c r="AQ138" s="160"/>
    </row>
    <row r="139" spans="27:43" ht="15.75" customHeight="1">
      <c r="AA139" s="166" t="s">
        <v>9</v>
      </c>
      <c r="AB139" s="166" t="s">
        <v>160</v>
      </c>
      <c r="AC139" s="1382" t="s">
        <v>181</v>
      </c>
      <c r="AD139" s="1382"/>
      <c r="AE139" s="1382"/>
      <c r="AF139" s="1382"/>
      <c r="AG139" s="1382"/>
      <c r="AH139" s="1382"/>
      <c r="AI139" s="1382"/>
      <c r="AJ139" s="1382"/>
      <c r="AK139" s="1382"/>
      <c r="AL139" s="1382"/>
      <c r="AM139" s="1382"/>
      <c r="AN139" s="1382"/>
      <c r="AO139" s="160"/>
      <c r="AP139" s="160"/>
      <c r="AQ139" s="160"/>
    </row>
    <row r="140" spans="27:43" ht="15.75" customHeight="1">
      <c r="AA140" s="171"/>
      <c r="AB140" s="171"/>
      <c r="AC140" s="188">
        <v>15</v>
      </c>
      <c r="AD140" s="189">
        <v>20</v>
      </c>
      <c r="AE140" s="189">
        <v>50</v>
      </c>
      <c r="AF140" s="189">
        <v>100</v>
      </c>
      <c r="AG140" s="189">
        <v>200</v>
      </c>
      <c r="AH140" s="189">
        <v>500</v>
      </c>
      <c r="AI140" s="190">
        <v>1000</v>
      </c>
      <c r="AJ140" s="190">
        <v>2000</v>
      </c>
      <c r="AK140" s="190">
        <v>5000</v>
      </c>
      <c r="AL140" s="190">
        <v>10000</v>
      </c>
      <c r="AM140" s="190">
        <v>20000</v>
      </c>
      <c r="AN140" s="190">
        <v>30000</v>
      </c>
      <c r="AO140" s="160"/>
      <c r="AP140" s="160"/>
      <c r="AQ140" s="160"/>
    </row>
    <row r="141" spans="27:43" ht="15.75" customHeight="1">
      <c r="AA141" s="177">
        <v>1</v>
      </c>
      <c r="AB141" s="178" t="s">
        <v>10</v>
      </c>
      <c r="AC141" s="181">
        <v>9.8000000000000004E-2</v>
      </c>
      <c r="AD141" s="181">
        <v>8.1000000000000003E-2</v>
      </c>
      <c r="AE141" s="181">
        <v>6.6000000000000003E-2</v>
      </c>
      <c r="AF141" s="181">
        <v>4.7E-2</v>
      </c>
      <c r="AG141" s="181">
        <v>3.5000000000000003E-2</v>
      </c>
      <c r="AH141" s="181">
        <v>2.3E-2</v>
      </c>
      <c r="AI141" s="181">
        <v>0.02</v>
      </c>
      <c r="AJ141" s="181">
        <v>1.7000000000000001E-2</v>
      </c>
      <c r="AK141" s="181">
        <v>1.4E-2</v>
      </c>
      <c r="AL141" s="181">
        <v>0.01</v>
      </c>
      <c r="AM141" s="181">
        <v>8.0000000000000002E-3</v>
      </c>
      <c r="AN141" s="181">
        <v>6.0000000000000001E-3</v>
      </c>
      <c r="AO141" s="160"/>
      <c r="AP141" s="160"/>
      <c r="AQ141" s="160"/>
    </row>
    <row r="142" spans="27:43" ht="15.75" customHeight="1">
      <c r="AA142" s="177">
        <v>2</v>
      </c>
      <c r="AB142" s="178" t="s">
        <v>14</v>
      </c>
      <c r="AC142" s="181">
        <v>0.14000000000000001</v>
      </c>
      <c r="AD142" s="181">
        <v>0.11899999999999999</v>
      </c>
      <c r="AE142" s="181">
        <v>9.5000000000000001E-2</v>
      </c>
      <c r="AF142" s="181">
        <v>7.0000000000000007E-2</v>
      </c>
      <c r="AG142" s="181">
        <v>5.5E-2</v>
      </c>
      <c r="AH142" s="181">
        <v>4.1000000000000002E-2</v>
      </c>
      <c r="AI142" s="181">
        <v>3.5999999999999997E-2</v>
      </c>
      <c r="AJ142" s="181">
        <v>2.9000000000000001E-2</v>
      </c>
      <c r="AK142" s="181">
        <v>2.5000000000000001E-2</v>
      </c>
      <c r="AL142" s="181">
        <v>1.4999999999999999E-2</v>
      </c>
      <c r="AM142" s="181">
        <v>0.01</v>
      </c>
      <c r="AN142" s="181">
        <v>7.0000000000000001E-3</v>
      </c>
      <c r="AO142" s="160"/>
      <c r="AP142" s="160"/>
      <c r="AQ142" s="160"/>
    </row>
    <row r="143" spans="27:43" ht="15.75" customHeight="1">
      <c r="AA143" s="177">
        <v>3</v>
      </c>
      <c r="AB143" s="178" t="s">
        <v>17</v>
      </c>
      <c r="AC143" s="181">
        <v>7.3999999999999996E-2</v>
      </c>
      <c r="AD143" s="181">
        <v>6.7000000000000004E-2</v>
      </c>
      <c r="AE143" s="181">
        <v>5.3999999999999999E-2</v>
      </c>
      <c r="AF143" s="181">
        <v>4.2000000000000003E-2</v>
      </c>
      <c r="AG143" s="181">
        <v>2.9000000000000001E-2</v>
      </c>
      <c r="AH143" s="181">
        <v>1.7999999999999999E-2</v>
      </c>
      <c r="AI143" s="181">
        <v>1.6E-2</v>
      </c>
      <c r="AJ143" s="181">
        <v>1.2999999999999999E-2</v>
      </c>
      <c r="AK143" s="181">
        <v>1.0999999999999999E-2</v>
      </c>
      <c r="AL143" s="181">
        <v>7.0000000000000001E-3</v>
      </c>
      <c r="AM143" s="181">
        <v>5.0000000000000001E-3</v>
      </c>
      <c r="AN143" s="181">
        <v>4.0000000000000001E-3</v>
      </c>
      <c r="AO143" s="160"/>
      <c r="AP143" s="160"/>
      <c r="AQ143" s="160"/>
    </row>
    <row r="144" spans="27:43" ht="15.75" customHeight="1">
      <c r="AA144" s="177">
        <v>4</v>
      </c>
      <c r="AB144" s="178" t="s">
        <v>166</v>
      </c>
      <c r="AC144" s="181">
        <v>8.7999999999999995E-2</v>
      </c>
      <c r="AD144" s="181">
        <v>0.08</v>
      </c>
      <c r="AE144" s="181">
        <v>6.4000000000000001E-2</v>
      </c>
      <c r="AF144" s="181">
        <v>4.4999999999999998E-2</v>
      </c>
      <c r="AG144" s="181">
        <v>3.4000000000000002E-2</v>
      </c>
      <c r="AH144" s="181">
        <v>2.1999999999999999E-2</v>
      </c>
      <c r="AI144" s="181">
        <v>1.9E-2</v>
      </c>
      <c r="AJ144" s="181">
        <v>1.6E-2</v>
      </c>
      <c r="AK144" s="181">
        <v>1.2999999999999999E-2</v>
      </c>
      <c r="AL144" s="181">
        <v>8.9999999999999993E-3</v>
      </c>
      <c r="AM144" s="181">
        <v>7.0000000000000001E-3</v>
      </c>
      <c r="AN144" s="181">
        <v>5.0000000000000001E-3</v>
      </c>
      <c r="AO144" s="160"/>
      <c r="AP144" s="160"/>
      <c r="AQ144" s="160"/>
    </row>
    <row r="145" spans="27:43" ht="15.75" customHeight="1">
      <c r="AA145" s="177">
        <v>5</v>
      </c>
      <c r="AB145" s="178" t="s">
        <v>229</v>
      </c>
      <c r="AC145" s="181">
        <v>7.6999999999999999E-2</v>
      </c>
      <c r="AD145" s="181">
        <v>7.0000000000000007E-2</v>
      </c>
      <c r="AE145" s="181">
        <v>5.6000000000000001E-2</v>
      </c>
      <c r="AF145" s="181">
        <v>4.3999999999999997E-2</v>
      </c>
      <c r="AG145" s="181">
        <v>0.03</v>
      </c>
      <c r="AH145" s="181">
        <v>1.9E-2</v>
      </c>
      <c r="AI145" s="181">
        <v>1.7000000000000001E-2</v>
      </c>
      <c r="AJ145" s="181">
        <v>1.4E-2</v>
      </c>
      <c r="AK145" s="181">
        <v>1.2E-2</v>
      </c>
      <c r="AL145" s="181">
        <v>8.0000000000000002E-3</v>
      </c>
      <c r="AM145" s="181">
        <v>6.0000000000000001E-3</v>
      </c>
      <c r="AN145" s="181">
        <v>4.0000000000000001E-3</v>
      </c>
      <c r="AO145" s="160"/>
      <c r="AP145" s="160"/>
      <c r="AQ145" s="160"/>
    </row>
    <row r="146" spans="27:43" ht="15.75" customHeight="1">
      <c r="AA146" s="160"/>
      <c r="AB146" s="160"/>
      <c r="AC146" s="160"/>
      <c r="AD146" s="160"/>
      <c r="AE146" s="160"/>
      <c r="AF146" s="160"/>
      <c r="AG146" s="160"/>
      <c r="AH146" s="160"/>
      <c r="AI146" s="160"/>
      <c r="AJ146" s="160"/>
      <c r="AK146" s="160"/>
      <c r="AL146" s="160"/>
      <c r="AM146" s="160"/>
      <c r="AN146" s="160"/>
      <c r="AO146" s="160"/>
      <c r="AP146" s="160"/>
      <c r="AQ146" s="160"/>
    </row>
    <row r="147" spans="27:43" ht="15.75" customHeight="1">
      <c r="AA147" s="159" t="s">
        <v>230</v>
      </c>
      <c r="AB147" s="160"/>
      <c r="AC147" s="160"/>
      <c r="AD147" s="160"/>
      <c r="AE147" s="160"/>
      <c r="AF147" s="160"/>
      <c r="AG147" s="160"/>
      <c r="AH147" s="160"/>
      <c r="AI147" s="160"/>
      <c r="AJ147" s="160"/>
      <c r="AK147" s="160"/>
      <c r="AL147" s="160"/>
      <c r="AM147" s="160"/>
      <c r="AN147" s="160"/>
      <c r="AO147" s="160"/>
      <c r="AP147" s="160"/>
      <c r="AQ147" s="160"/>
    </row>
    <row r="148" spans="27:43" ht="15.75" customHeight="1">
      <c r="AA148" s="159" t="s">
        <v>231</v>
      </c>
      <c r="AB148" s="160"/>
      <c r="AC148" s="160"/>
      <c r="AD148" s="160"/>
      <c r="AE148" s="160"/>
      <c r="AF148" s="160"/>
      <c r="AG148" s="160"/>
      <c r="AH148" s="160"/>
      <c r="AI148" s="160"/>
      <c r="AJ148" s="160"/>
      <c r="AK148" s="160"/>
      <c r="AL148" s="160"/>
      <c r="AM148" s="160"/>
      <c r="AN148" s="160"/>
      <c r="AO148" s="160"/>
      <c r="AP148" s="160"/>
      <c r="AQ148" s="160"/>
    </row>
    <row r="149" spans="27:43" ht="15.75" customHeight="1">
      <c r="AB149" s="160"/>
      <c r="AC149" s="160"/>
      <c r="AD149" s="160"/>
      <c r="AE149" s="160"/>
      <c r="AF149" s="160"/>
      <c r="AG149" s="160"/>
      <c r="AH149" s="160"/>
      <c r="AI149" s="160"/>
      <c r="AJ149" s="160"/>
      <c r="AK149" s="160"/>
      <c r="AL149" s="164" t="s">
        <v>158</v>
      </c>
      <c r="AM149" s="160"/>
      <c r="AN149" s="160"/>
      <c r="AO149" s="160"/>
      <c r="AP149" s="160"/>
      <c r="AQ149" s="160"/>
    </row>
    <row r="150" spans="27:43" ht="15.75" customHeight="1">
      <c r="AA150" s="166" t="s">
        <v>9</v>
      </c>
      <c r="AB150" s="166" t="s">
        <v>160</v>
      </c>
      <c r="AC150" s="211" t="s">
        <v>232</v>
      </c>
      <c r="AD150" s="212"/>
      <c r="AE150" s="212"/>
      <c r="AF150" s="212"/>
      <c r="AG150" s="212"/>
      <c r="AH150" s="212"/>
      <c r="AI150" s="212"/>
      <c r="AJ150" s="212"/>
      <c r="AK150" s="212"/>
      <c r="AL150" s="213"/>
      <c r="AM150" s="160"/>
      <c r="AN150" s="160"/>
      <c r="AO150" s="160"/>
      <c r="AP150" s="160"/>
      <c r="AQ150" s="160"/>
    </row>
    <row r="151" spans="27:43" ht="15.75" customHeight="1">
      <c r="AA151" s="214"/>
      <c r="AB151" s="214"/>
      <c r="AC151" s="215" t="s">
        <v>233</v>
      </c>
      <c r="AD151" s="216"/>
      <c r="AE151" s="216"/>
      <c r="AF151" s="216"/>
      <c r="AG151" s="216"/>
      <c r="AH151" s="216"/>
      <c r="AI151" s="216"/>
      <c r="AJ151" s="216"/>
      <c r="AK151" s="216"/>
      <c r="AL151" s="217"/>
      <c r="AM151" s="160"/>
      <c r="AN151" s="160"/>
      <c r="AO151" s="160"/>
      <c r="AP151" s="160"/>
      <c r="AQ151" s="160"/>
    </row>
    <row r="152" spans="27:43" ht="15.75" customHeight="1">
      <c r="AA152" s="171"/>
      <c r="AB152" s="172"/>
      <c r="AC152" s="218">
        <v>10</v>
      </c>
      <c r="AD152" s="189">
        <v>20</v>
      </c>
      <c r="AE152" s="189">
        <v>50</v>
      </c>
      <c r="AF152" s="189">
        <v>100</v>
      </c>
      <c r="AG152" s="189">
        <v>200</v>
      </c>
      <c r="AH152" s="189">
        <v>500</v>
      </c>
      <c r="AI152" s="190">
        <v>1000</v>
      </c>
      <c r="AJ152" s="190">
        <v>2000</v>
      </c>
      <c r="AK152" s="190">
        <v>5000</v>
      </c>
      <c r="AL152" s="190">
        <v>8000</v>
      </c>
      <c r="AM152" s="160"/>
      <c r="AN152" s="160"/>
      <c r="AO152" s="160"/>
      <c r="AP152" s="160"/>
      <c r="AQ152" s="160"/>
    </row>
    <row r="153" spans="27:43" ht="15.75" customHeight="1">
      <c r="AA153" s="177">
        <v>1</v>
      </c>
      <c r="AB153" s="178" t="s">
        <v>10</v>
      </c>
      <c r="AC153" s="180">
        <v>0.20599999999999999</v>
      </c>
      <c r="AD153" s="180">
        <v>0.17899999999999999</v>
      </c>
      <c r="AE153" s="180">
        <v>0.13800000000000001</v>
      </c>
      <c r="AF153" s="180">
        <v>0.106</v>
      </c>
      <c r="AG153" s="180">
        <v>8.1000000000000003E-2</v>
      </c>
      <c r="AH153" s="180">
        <v>6.3E-2</v>
      </c>
      <c r="AI153" s="180">
        <v>5.0999999999999997E-2</v>
      </c>
      <c r="AJ153" s="180">
        <v>3.5999999999999997E-2</v>
      </c>
      <c r="AK153" s="180">
        <v>2.8000000000000001E-2</v>
      </c>
      <c r="AL153" s="180">
        <v>2.4E-2</v>
      </c>
      <c r="AM153" s="160"/>
      <c r="AN153" s="160"/>
      <c r="AO153" s="160"/>
      <c r="AP153" s="160"/>
      <c r="AQ153" s="160"/>
    </row>
    <row r="154" spans="27:43" ht="15.75" customHeight="1">
      <c r="AA154" s="177">
        <v>2</v>
      </c>
      <c r="AB154" s="178" t="s">
        <v>14</v>
      </c>
      <c r="AC154" s="180">
        <v>0.23799999999999999</v>
      </c>
      <c r="AD154" s="180">
        <v>0.20599999999999999</v>
      </c>
      <c r="AE154" s="180">
        <v>0.158</v>
      </c>
      <c r="AF154" s="180">
        <v>0.121</v>
      </c>
      <c r="AG154" s="180">
        <v>9.4E-2</v>
      </c>
      <c r="AH154" s="180">
        <v>7.2999999999999995E-2</v>
      </c>
      <c r="AI154" s="180">
        <v>5.5E-2</v>
      </c>
      <c r="AJ154" s="180">
        <v>4.3999999999999997E-2</v>
      </c>
      <c r="AK154" s="180">
        <v>3.3000000000000002E-2</v>
      </c>
      <c r="AL154" s="180">
        <v>2.8000000000000001E-2</v>
      </c>
      <c r="AM154" s="160"/>
      <c r="AN154" s="160"/>
      <c r="AO154" s="160"/>
      <c r="AP154" s="160"/>
      <c r="AQ154" s="160"/>
    </row>
    <row r="155" spans="27:43" ht="15.75" customHeight="1">
      <c r="AA155" s="177">
        <v>3</v>
      </c>
      <c r="AB155" s="178" t="s">
        <v>17</v>
      </c>
      <c r="AC155" s="180">
        <v>0.13600000000000001</v>
      </c>
      <c r="AD155" s="180">
        <v>0.11799999999999999</v>
      </c>
      <c r="AE155" s="180">
        <v>0.09</v>
      </c>
      <c r="AF155" s="180">
        <v>6.9000000000000006E-2</v>
      </c>
      <c r="AG155" s="180">
        <v>5.3999999999999999E-2</v>
      </c>
      <c r="AH155" s="180">
        <v>4.1000000000000002E-2</v>
      </c>
      <c r="AI155" s="180">
        <v>3.1E-2</v>
      </c>
      <c r="AJ155" s="180">
        <v>2.5999999999999999E-2</v>
      </c>
      <c r="AK155" s="180">
        <v>0.02</v>
      </c>
      <c r="AL155" s="180">
        <v>1.7000000000000001E-2</v>
      </c>
      <c r="AM155" s="160"/>
      <c r="AN155" s="160"/>
      <c r="AO155" s="160"/>
      <c r="AP155" s="160"/>
      <c r="AQ155" s="160"/>
    </row>
    <row r="156" spans="27:43" ht="15.75" customHeight="1">
      <c r="AA156" s="177">
        <v>4</v>
      </c>
      <c r="AB156" s="178" t="s">
        <v>166</v>
      </c>
      <c r="AC156" s="180">
        <v>0.151</v>
      </c>
      <c r="AD156" s="180">
        <v>0.13</v>
      </c>
      <c r="AE156" s="180">
        <v>0.1</v>
      </c>
      <c r="AF156" s="180">
        <v>7.5999999999999998E-2</v>
      </c>
      <c r="AG156" s="180">
        <v>0.06</v>
      </c>
      <c r="AH156" s="180">
        <v>4.5999999999999999E-2</v>
      </c>
      <c r="AI156" s="180">
        <v>3.5000000000000003E-2</v>
      </c>
      <c r="AJ156" s="180">
        <v>2.9000000000000001E-2</v>
      </c>
      <c r="AK156" s="180">
        <v>2.1000000000000001E-2</v>
      </c>
      <c r="AL156" s="180">
        <v>1.7999999999999999E-2</v>
      </c>
      <c r="AM156" s="160"/>
      <c r="AN156" s="160"/>
      <c r="AO156" s="160"/>
      <c r="AP156" s="160"/>
      <c r="AQ156" s="160"/>
    </row>
    <row r="157" spans="27:43" ht="15.75" customHeight="1">
      <c r="AA157" s="177">
        <v>5</v>
      </c>
      <c r="AB157" s="178" t="s">
        <v>234</v>
      </c>
      <c r="AC157" s="180">
        <v>0.158</v>
      </c>
      <c r="AD157" s="180">
        <v>0.13800000000000001</v>
      </c>
      <c r="AE157" s="180">
        <v>0.106</v>
      </c>
      <c r="AF157" s="180">
        <v>8.1000000000000003E-2</v>
      </c>
      <c r="AG157" s="180">
        <v>6.3E-2</v>
      </c>
      <c r="AH157" s="180">
        <v>4.9000000000000002E-2</v>
      </c>
      <c r="AI157" s="180">
        <v>3.7999999999999999E-2</v>
      </c>
      <c r="AJ157" s="180">
        <v>3.3000000000000002E-2</v>
      </c>
      <c r="AK157" s="180">
        <v>2.4E-2</v>
      </c>
      <c r="AL157" s="180">
        <v>2.1000000000000001E-2</v>
      </c>
      <c r="AM157" s="160"/>
      <c r="AN157" s="160"/>
      <c r="AO157" s="160"/>
      <c r="AP157" s="160"/>
      <c r="AQ157" s="160"/>
    </row>
    <row r="158" spans="27:43" ht="15.75" customHeight="1">
      <c r="AA158" s="160"/>
      <c r="AB158" s="160"/>
      <c r="AC158" s="160"/>
      <c r="AD158" s="160"/>
      <c r="AE158" s="160"/>
      <c r="AF158" s="160"/>
      <c r="AG158" s="160"/>
      <c r="AH158" s="160"/>
      <c r="AI158" s="160"/>
      <c r="AJ158" s="160"/>
      <c r="AK158" s="160"/>
      <c r="AL158" s="160"/>
      <c r="AM158" s="160"/>
      <c r="AN158" s="160"/>
      <c r="AO158" s="160"/>
      <c r="AP158" s="160"/>
      <c r="AQ158" s="160"/>
    </row>
    <row r="159" spans="27:43" ht="15.75" customHeight="1">
      <c r="AA159" s="159" t="s">
        <v>235</v>
      </c>
      <c r="AC159" s="160"/>
      <c r="AD159" s="160"/>
      <c r="AE159" s="160"/>
      <c r="AF159" s="160"/>
      <c r="AG159" s="160"/>
      <c r="AH159" s="160"/>
      <c r="AI159" s="160"/>
      <c r="AJ159" s="160"/>
      <c r="AK159" s="160"/>
      <c r="AL159" s="160"/>
      <c r="AM159" s="160"/>
      <c r="AN159" s="160"/>
      <c r="AO159" s="160"/>
      <c r="AP159" s="160"/>
      <c r="AQ159" s="160"/>
    </row>
    <row r="160" spans="27:43" ht="15.75" customHeight="1">
      <c r="AB160" s="160"/>
      <c r="AC160" s="160"/>
      <c r="AD160" s="160"/>
      <c r="AE160" s="160"/>
      <c r="AF160" s="160"/>
      <c r="AG160" s="160"/>
      <c r="AH160" s="160"/>
      <c r="AI160" s="160"/>
      <c r="AJ160" s="160"/>
      <c r="AK160" s="160"/>
      <c r="AL160" s="164" t="s">
        <v>158</v>
      </c>
      <c r="AM160" s="160"/>
      <c r="AN160" s="160"/>
      <c r="AO160" s="160"/>
      <c r="AP160" s="160"/>
      <c r="AQ160" s="160"/>
    </row>
    <row r="161" spans="27:43" ht="15.75" customHeight="1">
      <c r="AA161" s="166" t="s">
        <v>9</v>
      </c>
      <c r="AB161" s="166" t="s">
        <v>160</v>
      </c>
      <c r="AC161" s="211" t="s">
        <v>232</v>
      </c>
      <c r="AD161" s="212"/>
      <c r="AE161" s="212"/>
      <c r="AF161" s="212"/>
      <c r="AG161" s="212"/>
      <c r="AH161" s="212"/>
      <c r="AI161" s="212"/>
      <c r="AJ161" s="212"/>
      <c r="AK161" s="212"/>
      <c r="AL161" s="213"/>
      <c r="AM161" s="160"/>
      <c r="AN161" s="160"/>
      <c r="AO161" s="160"/>
      <c r="AP161" s="160"/>
      <c r="AQ161" s="160"/>
    </row>
    <row r="162" spans="27:43" ht="15.75" customHeight="1">
      <c r="AA162" s="214"/>
      <c r="AB162" s="214"/>
      <c r="AC162" s="215" t="s">
        <v>233</v>
      </c>
      <c r="AD162" s="216"/>
      <c r="AE162" s="216"/>
      <c r="AF162" s="216"/>
      <c r="AG162" s="216"/>
      <c r="AH162" s="216"/>
      <c r="AI162" s="216"/>
      <c r="AJ162" s="216"/>
      <c r="AK162" s="216"/>
      <c r="AL162" s="217"/>
      <c r="AM162" s="160"/>
      <c r="AN162" s="160"/>
      <c r="AO162" s="160"/>
      <c r="AP162" s="160"/>
      <c r="AQ162" s="160"/>
    </row>
    <row r="163" spans="27:43" ht="15.75" customHeight="1">
      <c r="AA163" s="171"/>
      <c r="AB163" s="172"/>
      <c r="AC163" s="218">
        <v>10</v>
      </c>
      <c r="AD163" s="189">
        <v>20</v>
      </c>
      <c r="AE163" s="189">
        <v>50</v>
      </c>
      <c r="AF163" s="189">
        <v>100</v>
      </c>
      <c r="AG163" s="189">
        <v>200</v>
      </c>
      <c r="AH163" s="189">
        <v>500</v>
      </c>
      <c r="AI163" s="190">
        <v>1000</v>
      </c>
      <c r="AJ163" s="190">
        <v>2000</v>
      </c>
      <c r="AK163" s="190">
        <v>5000</v>
      </c>
      <c r="AL163" s="190">
        <v>8000</v>
      </c>
      <c r="AM163" s="160"/>
      <c r="AN163" s="160"/>
      <c r="AO163" s="160"/>
      <c r="AP163" s="160"/>
      <c r="AQ163" s="160"/>
    </row>
    <row r="164" spans="27:43" ht="15.75" customHeight="1">
      <c r="AA164" s="177">
        <v>1</v>
      </c>
      <c r="AB164" s="178" t="s">
        <v>10</v>
      </c>
      <c r="AC164" s="181">
        <v>0.2</v>
      </c>
      <c r="AD164" s="181">
        <v>0.17499999999999999</v>
      </c>
      <c r="AE164" s="181">
        <v>0.13300000000000001</v>
      </c>
      <c r="AF164" s="181">
        <v>0.104</v>
      </c>
      <c r="AG164" s="181">
        <v>7.8E-2</v>
      </c>
      <c r="AH164" s="181">
        <v>5.8000000000000003E-2</v>
      </c>
      <c r="AI164" s="181">
        <v>4.8000000000000001E-2</v>
      </c>
      <c r="AJ164" s="181">
        <v>3.5000000000000003E-2</v>
      </c>
      <c r="AK164" s="181">
        <v>2.5999999999999999E-2</v>
      </c>
      <c r="AL164" s="181">
        <v>2.3E-2</v>
      </c>
      <c r="AM164" s="160"/>
      <c r="AN164" s="160"/>
      <c r="AO164" s="160"/>
      <c r="AP164" s="160"/>
      <c r="AQ164" s="160"/>
    </row>
    <row r="165" spans="27:43" ht="15.75" customHeight="1">
      <c r="AA165" s="177">
        <v>2</v>
      </c>
      <c r="AB165" s="178" t="s">
        <v>14</v>
      </c>
      <c r="AC165" s="181">
        <v>0.23100000000000001</v>
      </c>
      <c r="AD165" s="181">
        <v>0.2</v>
      </c>
      <c r="AE165" s="181">
        <v>0.151</v>
      </c>
      <c r="AF165" s="181">
        <v>0.11799999999999999</v>
      </c>
      <c r="AG165" s="181">
        <v>0.09</v>
      </c>
      <c r="AH165" s="181">
        <v>6.9000000000000006E-2</v>
      </c>
      <c r="AI165" s="181">
        <v>5.0999999999999997E-2</v>
      </c>
      <c r="AJ165" s="181">
        <v>4.1000000000000002E-2</v>
      </c>
      <c r="AK165" s="181">
        <v>2.9000000000000001E-2</v>
      </c>
      <c r="AL165" s="181">
        <v>2.5000000000000001E-2</v>
      </c>
      <c r="AM165" s="160"/>
      <c r="AN165" s="160"/>
      <c r="AO165" s="160"/>
      <c r="AP165" s="160"/>
      <c r="AQ165" s="160"/>
    </row>
    <row r="166" spans="27:43" ht="15.75" customHeight="1">
      <c r="AA166" s="177">
        <v>3</v>
      </c>
      <c r="AB166" s="178" t="s">
        <v>17</v>
      </c>
      <c r="AC166" s="181">
        <v>0.13300000000000001</v>
      </c>
      <c r="AD166" s="181">
        <v>0.114</v>
      </c>
      <c r="AE166" s="181">
        <v>8.5000000000000006E-2</v>
      </c>
      <c r="AF166" s="181">
        <v>6.8000000000000005E-2</v>
      </c>
      <c r="AG166" s="181">
        <v>5.0999999999999997E-2</v>
      </c>
      <c r="AH166" s="181">
        <v>3.9E-2</v>
      </c>
      <c r="AI166" s="181">
        <v>0.03</v>
      </c>
      <c r="AJ166" s="181">
        <v>2.5000000000000001E-2</v>
      </c>
      <c r="AK166" s="181">
        <v>1.7999999999999999E-2</v>
      </c>
      <c r="AL166" s="181">
        <v>1.4999999999999999E-2</v>
      </c>
      <c r="AM166" s="160"/>
      <c r="AN166" s="160"/>
      <c r="AO166" s="160"/>
      <c r="AP166" s="160"/>
      <c r="AQ166" s="160"/>
    </row>
    <row r="167" spans="27:43" ht="15.75" customHeight="1">
      <c r="AA167" s="177">
        <v>4</v>
      </c>
      <c r="AB167" s="178" t="s">
        <v>166</v>
      </c>
      <c r="AC167" s="181">
        <v>0.14599999999999999</v>
      </c>
      <c r="AD167" s="181">
        <v>0.126</v>
      </c>
      <c r="AE167" s="181">
        <v>9.5000000000000001E-2</v>
      </c>
      <c r="AF167" s="181">
        <v>7.4999999999999997E-2</v>
      </c>
      <c r="AG167" s="181">
        <v>5.8000000000000003E-2</v>
      </c>
      <c r="AH167" s="181">
        <v>4.3999999999999997E-2</v>
      </c>
      <c r="AI167" s="181">
        <v>3.3000000000000002E-2</v>
      </c>
      <c r="AJ167" s="181">
        <v>2.8000000000000001E-2</v>
      </c>
      <c r="AK167" s="181">
        <v>0.02</v>
      </c>
      <c r="AL167" s="181">
        <v>1.7000000000000001E-2</v>
      </c>
      <c r="AM167" s="160"/>
      <c r="AN167" s="160"/>
      <c r="AO167" s="160"/>
      <c r="AP167" s="160"/>
      <c r="AQ167" s="160"/>
    </row>
    <row r="168" spans="27:43" ht="15.75" customHeight="1">
      <c r="AA168" s="177">
        <v>5</v>
      </c>
      <c r="AB168" s="178" t="s">
        <v>21</v>
      </c>
      <c r="AC168" s="181">
        <v>0.153</v>
      </c>
      <c r="AD168" s="181">
        <v>0.13300000000000001</v>
      </c>
      <c r="AE168" s="181">
        <v>0.10299999999999999</v>
      </c>
      <c r="AF168" s="181">
        <v>7.8E-2</v>
      </c>
      <c r="AG168" s="181">
        <v>5.8999999999999997E-2</v>
      </c>
      <c r="AH168" s="181">
        <v>4.5999999999999999E-2</v>
      </c>
      <c r="AI168" s="181">
        <v>3.5999999999999997E-2</v>
      </c>
      <c r="AJ168" s="181">
        <v>0.03</v>
      </c>
      <c r="AK168" s="181">
        <v>2.1000000000000001E-2</v>
      </c>
      <c r="AL168" s="181">
        <v>1.7999999999999999E-2</v>
      </c>
      <c r="AM168" s="160"/>
      <c r="AN168" s="160"/>
      <c r="AO168" s="160"/>
      <c r="AP168" s="160"/>
      <c r="AQ168" s="160"/>
    </row>
    <row r="169" spans="27:43" ht="15.75" customHeight="1">
      <c r="AA169" s="160"/>
      <c r="AB169" s="160"/>
      <c r="AC169" s="160"/>
      <c r="AD169" s="160"/>
      <c r="AE169" s="160"/>
      <c r="AF169" s="160"/>
      <c r="AG169" s="160"/>
      <c r="AH169" s="160"/>
      <c r="AI169" s="160"/>
      <c r="AJ169" s="160"/>
      <c r="AK169" s="160"/>
      <c r="AL169" s="160"/>
      <c r="AM169" s="160"/>
      <c r="AN169" s="160"/>
      <c r="AO169" s="160"/>
      <c r="AP169" s="160"/>
      <c r="AQ169" s="160"/>
    </row>
    <row r="170" spans="27:43" ht="15.75" customHeight="1">
      <c r="AA170" s="159" t="s">
        <v>236</v>
      </c>
      <c r="AB170" s="160"/>
      <c r="AC170" s="160"/>
      <c r="AD170" s="160"/>
      <c r="AE170" s="160"/>
      <c r="AF170" s="160"/>
      <c r="AG170" s="160"/>
      <c r="AH170" s="160"/>
      <c r="AI170" s="160"/>
      <c r="AJ170" s="160"/>
      <c r="AK170" s="160"/>
      <c r="AL170" s="160"/>
      <c r="AM170" s="160"/>
      <c r="AN170" s="160"/>
      <c r="AO170" s="160"/>
      <c r="AP170" s="160"/>
      <c r="AQ170" s="160"/>
    </row>
    <row r="171" spans="27:43" ht="15.75" customHeight="1">
      <c r="AB171" s="160"/>
      <c r="AC171" s="160"/>
      <c r="AD171" s="160"/>
      <c r="AE171" s="160"/>
      <c r="AF171" s="160"/>
      <c r="AG171" s="160"/>
      <c r="AH171" s="160"/>
      <c r="AI171" s="160"/>
      <c r="AJ171" s="160"/>
      <c r="AK171" s="160"/>
      <c r="AL171" s="164" t="s">
        <v>158</v>
      </c>
      <c r="AM171" s="160"/>
      <c r="AN171" s="160"/>
      <c r="AO171" s="160"/>
      <c r="AP171" s="160"/>
      <c r="AQ171" s="160"/>
    </row>
    <row r="172" spans="27:43" ht="15.75" customHeight="1">
      <c r="AA172" s="166" t="s">
        <v>9</v>
      </c>
      <c r="AB172" s="166" t="s">
        <v>160</v>
      </c>
      <c r="AC172" s="219" t="s">
        <v>237</v>
      </c>
      <c r="AD172" s="219"/>
      <c r="AE172" s="219"/>
      <c r="AF172" s="219"/>
      <c r="AG172" s="219"/>
      <c r="AH172" s="219"/>
      <c r="AI172" s="219"/>
      <c r="AJ172" s="219"/>
      <c r="AK172" s="219"/>
      <c r="AL172" s="219"/>
      <c r="AM172" s="160"/>
      <c r="AN172" s="160"/>
      <c r="AO172" s="160"/>
      <c r="AP172" s="160"/>
      <c r="AQ172" s="160"/>
    </row>
    <row r="173" spans="27:43" ht="15.75" customHeight="1">
      <c r="AA173" s="171"/>
      <c r="AB173" s="171"/>
      <c r="AC173" s="218">
        <v>10</v>
      </c>
      <c r="AD173" s="189">
        <v>20</v>
      </c>
      <c r="AE173" s="189">
        <v>50</v>
      </c>
      <c r="AF173" s="189">
        <v>100</v>
      </c>
      <c r="AG173" s="189">
        <v>200</v>
      </c>
      <c r="AH173" s="189">
        <v>500</v>
      </c>
      <c r="AI173" s="190">
        <v>1000</v>
      </c>
      <c r="AJ173" s="190">
        <v>2000</v>
      </c>
      <c r="AK173" s="190">
        <v>5000</v>
      </c>
      <c r="AL173" s="190">
        <v>8000</v>
      </c>
      <c r="AM173" s="160"/>
      <c r="AN173" s="160"/>
      <c r="AO173" s="160"/>
      <c r="AP173" s="160"/>
      <c r="AQ173" s="160"/>
    </row>
    <row r="174" spans="27:43" ht="15.75" customHeight="1">
      <c r="AA174" s="177">
        <v>1</v>
      </c>
      <c r="AB174" s="178" t="s">
        <v>10</v>
      </c>
      <c r="AC174" s="181">
        <v>0.33700000000000002</v>
      </c>
      <c r="AD174" s="181">
        <v>0.27</v>
      </c>
      <c r="AE174" s="181">
        <v>0.152</v>
      </c>
      <c r="AF174" s="181">
        <v>9.9000000000000005E-2</v>
      </c>
      <c r="AG174" s="181">
        <v>5.8999999999999997E-2</v>
      </c>
      <c r="AH174" s="181">
        <v>4.2999999999999997E-2</v>
      </c>
      <c r="AI174" s="181">
        <v>0.03</v>
      </c>
      <c r="AJ174" s="181">
        <v>2.5999999999999999E-2</v>
      </c>
      <c r="AK174" s="181">
        <v>2.1999999999999999E-2</v>
      </c>
      <c r="AL174" s="181">
        <v>1.9E-2</v>
      </c>
      <c r="AM174" s="160"/>
      <c r="AN174" s="160"/>
      <c r="AO174" s="160"/>
      <c r="AP174" s="160"/>
      <c r="AQ174" s="160"/>
    </row>
    <row r="175" spans="27:43" ht="15.75" customHeight="1">
      <c r="AA175" s="177">
        <v>2</v>
      </c>
      <c r="AB175" s="178" t="s">
        <v>14</v>
      </c>
      <c r="AC175" s="181">
        <v>0.439</v>
      </c>
      <c r="AD175" s="181">
        <v>0.30299999999999999</v>
      </c>
      <c r="AE175" s="181">
        <v>0.16900000000000001</v>
      </c>
      <c r="AF175" s="181">
        <v>0.115</v>
      </c>
      <c r="AG175" s="181">
        <v>7.3999999999999996E-2</v>
      </c>
      <c r="AH175" s="181">
        <v>5.2999999999999999E-2</v>
      </c>
      <c r="AI175" s="181">
        <v>0.04</v>
      </c>
      <c r="AJ175" s="181">
        <v>3.4000000000000002E-2</v>
      </c>
      <c r="AK175" s="181">
        <v>2.7E-2</v>
      </c>
      <c r="AL175" s="181">
        <v>2.3E-2</v>
      </c>
      <c r="AM175" s="160"/>
      <c r="AN175" s="160"/>
      <c r="AO175" s="160"/>
      <c r="AP175" s="160"/>
      <c r="AQ175" s="160"/>
    </row>
    <row r="176" spans="27:43" ht="15.75" customHeight="1">
      <c r="AA176" s="177">
        <v>3</v>
      </c>
      <c r="AB176" s="178" t="s">
        <v>17</v>
      </c>
      <c r="AC176" s="181">
        <v>0.27</v>
      </c>
      <c r="AD176" s="181">
        <v>0.185</v>
      </c>
      <c r="AE176" s="181">
        <v>0.11799999999999999</v>
      </c>
      <c r="AF176" s="181">
        <v>7.0000000000000007E-2</v>
      </c>
      <c r="AG176" s="181">
        <v>4.4999999999999998E-2</v>
      </c>
      <c r="AH176" s="181">
        <v>3.5000000000000003E-2</v>
      </c>
      <c r="AI176" s="181">
        <v>2.1999999999999999E-2</v>
      </c>
      <c r="AJ176" s="181">
        <v>1.9E-2</v>
      </c>
      <c r="AK176" s="181">
        <v>1.6E-2</v>
      </c>
      <c r="AL176" s="181">
        <v>1.4E-2</v>
      </c>
      <c r="AM176" s="160"/>
      <c r="AN176" s="160"/>
      <c r="AO176" s="160"/>
      <c r="AP176" s="160"/>
      <c r="AQ176" s="160"/>
    </row>
    <row r="177" spans="27:43" ht="15.75" customHeight="1">
      <c r="AA177" s="177">
        <v>4</v>
      </c>
      <c r="AB177" s="178" t="s">
        <v>166</v>
      </c>
      <c r="AC177" s="181">
        <v>0.28199999999999997</v>
      </c>
      <c r="AD177" s="181">
        <v>0.23599999999999999</v>
      </c>
      <c r="AE177" s="181">
        <v>0.13</v>
      </c>
      <c r="AF177" s="181">
        <v>7.3999999999999996E-2</v>
      </c>
      <c r="AG177" s="181">
        <v>4.7E-2</v>
      </c>
      <c r="AH177" s="181">
        <v>3.6999999999999998E-2</v>
      </c>
      <c r="AI177" s="181">
        <v>2.4E-2</v>
      </c>
      <c r="AJ177" s="181">
        <v>2.1000000000000001E-2</v>
      </c>
      <c r="AK177" s="181">
        <v>1.7999999999999999E-2</v>
      </c>
      <c r="AL177" s="181">
        <v>1.6E-2</v>
      </c>
      <c r="AM177" s="160"/>
      <c r="AN177" s="160"/>
      <c r="AO177" s="160"/>
      <c r="AP177" s="160"/>
      <c r="AQ177" s="160"/>
    </row>
    <row r="178" spans="27:43" ht="15.75" customHeight="1">
      <c r="AA178" s="177">
        <v>5</v>
      </c>
      <c r="AB178" s="178" t="s">
        <v>21</v>
      </c>
      <c r="AC178" s="181">
        <v>0.30299999999999999</v>
      </c>
      <c r="AD178" s="181">
        <v>0.254</v>
      </c>
      <c r="AE178" s="181">
        <v>0.13500000000000001</v>
      </c>
      <c r="AF178" s="181">
        <v>8.3000000000000004E-2</v>
      </c>
      <c r="AG178" s="181">
        <v>4.9000000000000002E-2</v>
      </c>
      <c r="AH178" s="181">
        <v>0.04</v>
      </c>
      <c r="AI178" s="181">
        <v>2.5999999999999999E-2</v>
      </c>
      <c r="AJ178" s="181">
        <v>2.1999999999999999E-2</v>
      </c>
      <c r="AK178" s="181">
        <v>1.9E-2</v>
      </c>
      <c r="AL178" s="181">
        <v>1.7000000000000001E-2</v>
      </c>
      <c r="AM178" s="160"/>
      <c r="AN178" s="160"/>
      <c r="AO178" s="160"/>
      <c r="AP178" s="160"/>
      <c r="AQ178" s="160"/>
    </row>
    <row r="179" spans="27:43" ht="15.75" customHeight="1">
      <c r="AA179" s="160"/>
      <c r="AB179" s="160"/>
      <c r="AC179" s="160"/>
      <c r="AD179" s="160"/>
      <c r="AE179" s="160"/>
      <c r="AF179" s="160"/>
      <c r="AG179" s="160"/>
      <c r="AH179" s="160"/>
      <c r="AI179" s="160"/>
      <c r="AJ179" s="160"/>
      <c r="AK179" s="160"/>
      <c r="AL179" s="160"/>
      <c r="AM179" s="160"/>
      <c r="AN179" s="160"/>
      <c r="AO179" s="160"/>
      <c r="AP179" s="160"/>
      <c r="AQ179" s="160"/>
    </row>
    <row r="180" spans="27:43" ht="15.75" customHeight="1">
      <c r="AA180" s="159" t="s">
        <v>238</v>
      </c>
      <c r="AB180" s="160"/>
      <c r="AC180" s="160"/>
      <c r="AD180" s="160"/>
      <c r="AE180" s="160"/>
      <c r="AF180" s="160"/>
      <c r="AG180" s="160"/>
      <c r="AH180" s="160"/>
      <c r="AI180" s="160"/>
      <c r="AJ180" s="160"/>
      <c r="AK180" s="160"/>
      <c r="AL180" s="160"/>
      <c r="AM180" s="160"/>
      <c r="AN180" s="160"/>
      <c r="AO180" s="160"/>
      <c r="AP180" s="160"/>
      <c r="AQ180" s="160"/>
    </row>
    <row r="181" spans="27:43" ht="15.75" customHeight="1">
      <c r="AB181" s="160"/>
      <c r="AC181" s="160"/>
      <c r="AD181" s="160"/>
      <c r="AE181" s="160"/>
      <c r="AF181" s="160"/>
      <c r="AG181" s="160"/>
      <c r="AH181" s="160"/>
      <c r="AI181" s="160"/>
      <c r="AJ181" s="160"/>
      <c r="AK181" s="160"/>
      <c r="AL181" s="164" t="s">
        <v>158</v>
      </c>
      <c r="AM181" s="160"/>
      <c r="AN181" s="160"/>
      <c r="AO181" s="160"/>
      <c r="AP181" s="160"/>
      <c r="AQ181" s="160"/>
    </row>
    <row r="182" spans="27:43" ht="15.75" customHeight="1">
      <c r="AA182" s="166" t="s">
        <v>9</v>
      </c>
      <c r="AB182" s="166" t="s">
        <v>160</v>
      </c>
      <c r="AC182" s="219" t="s">
        <v>239</v>
      </c>
      <c r="AD182" s="219"/>
      <c r="AE182" s="219"/>
      <c r="AF182" s="219"/>
      <c r="AG182" s="219"/>
      <c r="AH182" s="219"/>
      <c r="AI182" s="219"/>
      <c r="AJ182" s="219"/>
      <c r="AK182" s="219"/>
      <c r="AL182" s="219"/>
      <c r="AM182" s="160"/>
      <c r="AN182" s="160"/>
      <c r="AO182" s="160"/>
      <c r="AP182" s="160"/>
      <c r="AQ182" s="160"/>
    </row>
    <row r="183" spans="27:43" ht="15.75" customHeight="1">
      <c r="AA183" s="171"/>
      <c r="AB183" s="171"/>
      <c r="AC183" s="218">
        <v>10</v>
      </c>
      <c r="AD183" s="189">
        <v>20</v>
      </c>
      <c r="AE183" s="189">
        <v>50</v>
      </c>
      <c r="AF183" s="189">
        <v>100</v>
      </c>
      <c r="AG183" s="189">
        <v>200</v>
      </c>
      <c r="AH183" s="189">
        <v>500</v>
      </c>
      <c r="AI183" s="190">
        <v>1000</v>
      </c>
      <c r="AJ183" s="190">
        <v>2000</v>
      </c>
      <c r="AK183" s="190">
        <v>5000</v>
      </c>
      <c r="AL183" s="190">
        <v>8000</v>
      </c>
      <c r="AM183" s="160"/>
      <c r="AN183" s="160"/>
      <c r="AO183" s="160"/>
      <c r="AP183" s="160"/>
      <c r="AQ183" s="160"/>
    </row>
    <row r="184" spans="27:43" ht="15.75" customHeight="1">
      <c r="AA184" s="177">
        <v>1</v>
      </c>
      <c r="AB184" s="178" t="s">
        <v>10</v>
      </c>
      <c r="AC184" s="180">
        <v>0.28699999999999998</v>
      </c>
      <c r="AD184" s="180">
        <v>0.27</v>
      </c>
      <c r="AE184" s="180">
        <v>0.14199999999999999</v>
      </c>
      <c r="AF184" s="180">
        <v>8.8999999999999996E-2</v>
      </c>
      <c r="AG184" s="180">
        <v>7.9000000000000001E-2</v>
      </c>
      <c r="AH184" s="180">
        <v>6.6000000000000003E-2</v>
      </c>
      <c r="AI184" s="180">
        <v>4.4999999999999998E-2</v>
      </c>
      <c r="AJ184" s="180">
        <v>3.5000000000000003E-2</v>
      </c>
      <c r="AK184" s="180">
        <v>2.7E-2</v>
      </c>
      <c r="AL184" s="180">
        <v>2.3E-2</v>
      </c>
      <c r="AM184" s="160"/>
      <c r="AN184" s="160"/>
      <c r="AO184" s="160"/>
      <c r="AP184" s="160"/>
      <c r="AQ184" s="160"/>
    </row>
    <row r="185" spans="27:43" ht="15.75" customHeight="1">
      <c r="AA185" s="177">
        <v>2</v>
      </c>
      <c r="AB185" s="178" t="s">
        <v>14</v>
      </c>
      <c r="AC185" s="180">
        <v>0.439</v>
      </c>
      <c r="AD185" s="180">
        <v>0.39500000000000002</v>
      </c>
      <c r="AE185" s="180">
        <v>0.224</v>
      </c>
      <c r="AF185" s="180">
        <v>0.14099999999999999</v>
      </c>
      <c r="AG185" s="180">
        <v>0.122</v>
      </c>
      <c r="AH185" s="180">
        <v>0.1</v>
      </c>
      <c r="AI185" s="180">
        <v>6.8000000000000005E-2</v>
      </c>
      <c r="AJ185" s="180">
        <v>5.3999999999999999E-2</v>
      </c>
      <c r="AK185" s="180">
        <v>4.1000000000000002E-2</v>
      </c>
      <c r="AL185" s="180">
        <v>3.5999999999999997E-2</v>
      </c>
      <c r="AM185" s="160"/>
      <c r="AN185" s="160"/>
      <c r="AO185" s="160"/>
      <c r="AP185" s="160"/>
      <c r="AQ185" s="160"/>
    </row>
    <row r="186" spans="27:43" ht="15.75" customHeight="1">
      <c r="AA186" s="177">
        <v>3</v>
      </c>
      <c r="AB186" s="178" t="s">
        <v>17</v>
      </c>
      <c r="AC186" s="180">
        <v>0.20399999999999999</v>
      </c>
      <c r="AD186" s="180">
        <v>0.17899999999999999</v>
      </c>
      <c r="AE186" s="180">
        <v>0.10299999999999999</v>
      </c>
      <c r="AF186" s="180">
        <v>6.6000000000000003E-2</v>
      </c>
      <c r="AG186" s="180">
        <v>5.8000000000000003E-2</v>
      </c>
      <c r="AH186" s="180">
        <v>4.5999999999999999E-2</v>
      </c>
      <c r="AI186" s="180">
        <v>3.2000000000000001E-2</v>
      </c>
      <c r="AJ186" s="180">
        <v>2.5999999999999999E-2</v>
      </c>
      <c r="AK186" s="180">
        <v>2.1000000000000001E-2</v>
      </c>
      <c r="AL186" s="180">
        <v>1.9E-2</v>
      </c>
      <c r="AM186" s="160"/>
      <c r="AN186" s="160"/>
      <c r="AO186" s="160"/>
      <c r="AP186" s="160"/>
      <c r="AQ186" s="160"/>
    </row>
    <row r="187" spans="27:43" ht="15.75" customHeight="1">
      <c r="AA187" s="177">
        <v>4</v>
      </c>
      <c r="AB187" s="178" t="s">
        <v>166</v>
      </c>
      <c r="AC187" s="180">
        <v>0.219</v>
      </c>
      <c r="AD187" s="180">
        <v>0.191</v>
      </c>
      <c r="AE187" s="180">
        <v>0.11</v>
      </c>
      <c r="AF187" s="180">
        <v>7.0000000000000007E-2</v>
      </c>
      <c r="AG187" s="180">
        <v>6.0999999999999999E-2</v>
      </c>
      <c r="AH187" s="180">
        <v>4.9000000000000002E-2</v>
      </c>
      <c r="AI187" s="180">
        <v>0.04</v>
      </c>
      <c r="AJ187" s="180">
        <v>0.03</v>
      </c>
      <c r="AK187" s="180">
        <v>2.4E-2</v>
      </c>
      <c r="AL187" s="180">
        <v>0.02</v>
      </c>
      <c r="AM187" s="160"/>
      <c r="AN187" s="160"/>
      <c r="AO187" s="160"/>
      <c r="AP187" s="160"/>
      <c r="AQ187" s="160"/>
    </row>
    <row r="188" spans="27:43" ht="15.75" customHeight="1">
      <c r="AA188" s="177">
        <v>5</v>
      </c>
      <c r="AB188" s="178" t="s">
        <v>21</v>
      </c>
      <c r="AC188" s="180">
        <v>0.23599999999999999</v>
      </c>
      <c r="AD188" s="180">
        <v>0.20300000000000001</v>
      </c>
      <c r="AE188" s="180">
        <v>0.122</v>
      </c>
      <c r="AF188" s="180">
        <v>7.9000000000000001E-2</v>
      </c>
      <c r="AG188" s="180">
        <v>6.8000000000000005E-2</v>
      </c>
      <c r="AH188" s="180">
        <v>5.6000000000000001E-2</v>
      </c>
      <c r="AI188" s="180">
        <v>4.3999999999999997E-2</v>
      </c>
      <c r="AJ188" s="180">
        <v>3.4000000000000002E-2</v>
      </c>
      <c r="AK188" s="180">
        <v>2.5999999999999999E-2</v>
      </c>
      <c r="AL188" s="180">
        <v>2.1999999999999999E-2</v>
      </c>
      <c r="AM188" s="160"/>
      <c r="AN188" s="160"/>
      <c r="AO188" s="160"/>
      <c r="AP188" s="160"/>
      <c r="AQ188" s="160"/>
    </row>
    <row r="189" spans="27:43" ht="15.75" customHeight="1">
      <c r="AA189" s="160"/>
      <c r="AB189" s="160"/>
      <c r="AC189" s="160"/>
      <c r="AD189" s="160"/>
      <c r="AE189" s="160"/>
      <c r="AF189" s="160"/>
      <c r="AG189" s="160"/>
      <c r="AH189" s="160"/>
      <c r="AI189" s="160"/>
      <c r="AJ189" s="160"/>
      <c r="AK189" s="160"/>
      <c r="AL189" s="160"/>
      <c r="AM189" s="160"/>
      <c r="AN189" s="160"/>
      <c r="AO189" s="160"/>
      <c r="AP189" s="160"/>
      <c r="AQ189" s="160"/>
    </row>
    <row r="190" spans="27:43" ht="15.75" customHeight="1">
      <c r="AA190" s="159" t="s">
        <v>240</v>
      </c>
      <c r="AB190" s="160"/>
      <c r="AC190" s="160"/>
      <c r="AD190" s="160"/>
      <c r="AE190" s="160"/>
      <c r="AF190" s="160"/>
      <c r="AG190" s="160"/>
      <c r="AH190" s="160"/>
      <c r="AI190" s="160"/>
      <c r="AJ190" s="160"/>
      <c r="AK190" s="160"/>
      <c r="AL190" s="160"/>
      <c r="AM190" s="160"/>
      <c r="AN190" s="160"/>
      <c r="AO190" s="160"/>
      <c r="AP190" s="160"/>
      <c r="AQ190" s="160"/>
    </row>
    <row r="191" spans="27:43" ht="15.75" customHeight="1">
      <c r="AA191" s="160"/>
      <c r="AB191" s="160"/>
      <c r="AC191" s="160"/>
      <c r="AD191" s="160"/>
      <c r="AE191" s="160"/>
      <c r="AF191" s="160"/>
      <c r="AG191" s="160"/>
      <c r="AH191" s="160"/>
      <c r="AI191" s="160"/>
      <c r="AJ191" s="160"/>
      <c r="AK191" s="160"/>
      <c r="AL191" s="164" t="s">
        <v>158</v>
      </c>
      <c r="AM191" s="160"/>
      <c r="AN191" s="160"/>
      <c r="AO191" s="160"/>
      <c r="AP191" s="160"/>
      <c r="AQ191" s="160"/>
    </row>
    <row r="192" spans="27:43" ht="15.75" customHeight="1">
      <c r="AA192" s="166" t="s">
        <v>9</v>
      </c>
      <c r="AB192" s="166" t="s">
        <v>160</v>
      </c>
      <c r="AC192" s="219" t="s">
        <v>237</v>
      </c>
      <c r="AD192" s="219"/>
      <c r="AE192" s="219"/>
      <c r="AF192" s="219"/>
      <c r="AG192" s="219"/>
      <c r="AH192" s="219"/>
      <c r="AI192" s="219"/>
      <c r="AJ192" s="219"/>
      <c r="AK192" s="219"/>
      <c r="AL192" s="219"/>
      <c r="AM192" s="160"/>
      <c r="AN192" s="160"/>
      <c r="AO192" s="160"/>
      <c r="AP192" s="160"/>
      <c r="AQ192" s="160"/>
    </row>
    <row r="193" spans="27:43" ht="15.75" customHeight="1">
      <c r="AA193" s="171"/>
      <c r="AB193" s="171"/>
      <c r="AC193" s="218">
        <v>10</v>
      </c>
      <c r="AD193" s="189">
        <v>20</v>
      </c>
      <c r="AE193" s="189">
        <v>50</v>
      </c>
      <c r="AF193" s="189">
        <v>100</v>
      </c>
      <c r="AG193" s="189">
        <v>200</v>
      </c>
      <c r="AH193" s="189">
        <v>500</v>
      </c>
      <c r="AI193" s="190">
        <v>1000</v>
      </c>
      <c r="AJ193" s="190">
        <v>2000</v>
      </c>
      <c r="AK193" s="190">
        <v>5000</v>
      </c>
      <c r="AL193" s="190">
        <v>8000</v>
      </c>
      <c r="AM193" s="160"/>
      <c r="AN193" s="160"/>
      <c r="AO193" s="160"/>
      <c r="AP193" s="160"/>
      <c r="AQ193" s="160"/>
    </row>
    <row r="194" spans="27:43" ht="15.75" customHeight="1">
      <c r="AA194" s="177">
        <v>1</v>
      </c>
      <c r="AB194" s="178" t="s">
        <v>10</v>
      </c>
      <c r="AC194" s="179">
        <v>2.6280000000000001</v>
      </c>
      <c r="AD194" s="179">
        <v>2.282</v>
      </c>
      <c r="AE194" s="179">
        <v>1.948</v>
      </c>
      <c r="AF194" s="179">
        <v>1.512</v>
      </c>
      <c r="AG194" s="179">
        <v>1.2669999999999999</v>
      </c>
      <c r="AH194" s="180">
        <v>0.97399999999999998</v>
      </c>
      <c r="AI194" s="180">
        <v>0.65300000000000002</v>
      </c>
      <c r="AJ194" s="180">
        <v>0.58899999999999997</v>
      </c>
      <c r="AK194" s="180">
        <v>0.52900000000000003</v>
      </c>
      <c r="AL194" s="180">
        <v>0.46</v>
      </c>
      <c r="AM194" s="160"/>
      <c r="AN194" s="160"/>
      <c r="AO194" s="160"/>
      <c r="AP194" s="160"/>
      <c r="AQ194" s="160"/>
    </row>
    <row r="195" spans="27:43" ht="15.75" customHeight="1">
      <c r="AA195" s="177">
        <v>2</v>
      </c>
      <c r="AB195" s="178" t="s">
        <v>14</v>
      </c>
      <c r="AC195" s="179">
        <v>2.806</v>
      </c>
      <c r="AD195" s="179">
        <v>2.5099999999999998</v>
      </c>
      <c r="AE195" s="179">
        <v>2.0470000000000002</v>
      </c>
      <c r="AF195" s="179">
        <v>1.7</v>
      </c>
      <c r="AG195" s="179">
        <v>1.3140000000000001</v>
      </c>
      <c r="AH195" s="179">
        <v>1.0660000000000001</v>
      </c>
      <c r="AI195" s="180">
        <v>0.67400000000000004</v>
      </c>
      <c r="AJ195" s="180">
        <v>0.60699999999999998</v>
      </c>
      <c r="AK195" s="180">
        <v>0.54600000000000004</v>
      </c>
      <c r="AL195" s="180">
        <v>0.47399999999999998</v>
      </c>
      <c r="AM195" s="160"/>
      <c r="AN195" s="160"/>
      <c r="AO195" s="160"/>
      <c r="AP195" s="160"/>
      <c r="AQ195" s="160"/>
    </row>
    <row r="196" spans="27:43" ht="15.75" customHeight="1">
      <c r="AA196" s="177">
        <v>3</v>
      </c>
      <c r="AB196" s="178" t="s">
        <v>17</v>
      </c>
      <c r="AC196" s="179">
        <v>2.5619999999999998</v>
      </c>
      <c r="AD196" s="179">
        <v>2.16</v>
      </c>
      <c r="AE196" s="179">
        <v>1.885</v>
      </c>
      <c r="AF196" s="179">
        <v>1.405</v>
      </c>
      <c r="AG196" s="179">
        <v>1.0429999999999999</v>
      </c>
      <c r="AH196" s="180">
        <v>0.82199999999999995</v>
      </c>
      <c r="AI196" s="180">
        <v>0.59899999999999998</v>
      </c>
      <c r="AJ196" s="180">
        <v>0.53900000000000003</v>
      </c>
      <c r="AK196" s="180">
        <v>0.48499999999999999</v>
      </c>
      <c r="AL196" s="180">
        <v>0.42199999999999999</v>
      </c>
      <c r="AM196" s="160"/>
      <c r="AN196" s="160"/>
      <c r="AO196" s="160"/>
      <c r="AP196" s="160"/>
      <c r="AQ196" s="160"/>
    </row>
    <row r="197" spans="27:43" ht="15.75" customHeight="1">
      <c r="AA197" s="177">
        <v>4</v>
      </c>
      <c r="AB197" s="178" t="s">
        <v>166</v>
      </c>
      <c r="AC197" s="179">
        <v>2.0790000000000002</v>
      </c>
      <c r="AD197" s="179">
        <v>1.8340000000000001</v>
      </c>
      <c r="AE197" s="179">
        <v>1.66</v>
      </c>
      <c r="AF197" s="179">
        <v>1.266</v>
      </c>
      <c r="AG197" s="180">
        <v>0.97399999999999998</v>
      </c>
      <c r="AH197" s="180">
        <v>0.77900000000000003</v>
      </c>
      <c r="AI197" s="180">
        <v>0.51800000000000002</v>
      </c>
      <c r="AJ197" s="180">
        <v>0.46600000000000003</v>
      </c>
      <c r="AK197" s="180">
        <v>0.41899999999999998</v>
      </c>
      <c r="AL197" s="180">
        <v>0.36399999999999999</v>
      </c>
      <c r="AM197" s="160"/>
      <c r="AN197" s="160"/>
      <c r="AO197" s="160"/>
      <c r="AP197" s="160"/>
      <c r="AQ197" s="160"/>
    </row>
    <row r="198" spans="27:43" ht="15.75" customHeight="1">
      <c r="AA198" s="177">
        <v>5</v>
      </c>
      <c r="AB198" s="178" t="s">
        <v>21</v>
      </c>
      <c r="AC198" s="179">
        <v>2.0529999999999999</v>
      </c>
      <c r="AD198" s="179">
        <v>1.8049999999999999</v>
      </c>
      <c r="AE198" s="179">
        <v>1.5880000000000001</v>
      </c>
      <c r="AF198" s="179">
        <v>1.198</v>
      </c>
      <c r="AG198" s="180">
        <v>0.93600000000000005</v>
      </c>
      <c r="AH198" s="180">
        <v>0.748</v>
      </c>
      <c r="AI198" s="180">
        <v>0.47799999999999998</v>
      </c>
      <c r="AJ198" s="180">
        <v>0.43099999999999999</v>
      </c>
      <c r="AK198" s="180">
        <v>0.38800000000000001</v>
      </c>
      <c r="AL198" s="180">
        <v>0.33700000000000002</v>
      </c>
      <c r="AM198" s="160"/>
      <c r="AN198" s="160"/>
      <c r="AO198" s="160"/>
      <c r="AP198" s="160"/>
      <c r="AQ198" s="160"/>
    </row>
    <row r="199" spans="27:43" ht="15.75" customHeight="1">
      <c r="AA199" s="160"/>
      <c r="AB199" s="160"/>
      <c r="AC199" s="160"/>
      <c r="AD199" s="160"/>
      <c r="AE199" s="160"/>
      <c r="AF199" s="160"/>
      <c r="AG199" s="160"/>
      <c r="AH199" s="160"/>
      <c r="AI199" s="160"/>
      <c r="AJ199" s="160"/>
      <c r="AK199" s="160"/>
      <c r="AL199" s="160"/>
      <c r="AM199" s="160"/>
      <c r="AN199" s="160"/>
      <c r="AO199" s="160"/>
      <c r="AP199" s="160"/>
      <c r="AQ199" s="160"/>
    </row>
    <row r="200" spans="27:43" ht="15.75" customHeight="1">
      <c r="AA200" s="159" t="s">
        <v>241</v>
      </c>
      <c r="AB200" s="160"/>
      <c r="AC200" s="160"/>
      <c r="AD200" s="160"/>
      <c r="AE200" s="160"/>
      <c r="AF200" s="160"/>
      <c r="AG200" s="160"/>
      <c r="AH200" s="160"/>
      <c r="AI200" s="160"/>
      <c r="AJ200" s="160"/>
      <c r="AK200" s="160"/>
      <c r="AL200" s="160"/>
      <c r="AM200" s="160"/>
      <c r="AN200" s="160"/>
      <c r="AO200" s="160"/>
      <c r="AP200" s="160"/>
      <c r="AQ200" s="160"/>
    </row>
    <row r="201" spans="27:43" ht="15.75" customHeight="1">
      <c r="AB201" s="160"/>
      <c r="AC201" s="160"/>
      <c r="AD201" s="160"/>
      <c r="AE201" s="160"/>
      <c r="AF201" s="160"/>
      <c r="AG201" s="160"/>
      <c r="AH201" s="160"/>
      <c r="AI201" s="160"/>
      <c r="AJ201" s="160"/>
      <c r="AK201" s="160"/>
      <c r="AL201" s="164" t="s">
        <v>158</v>
      </c>
      <c r="AM201" s="160"/>
      <c r="AN201" s="160"/>
      <c r="AO201" s="160"/>
      <c r="AP201" s="160"/>
      <c r="AQ201" s="160"/>
    </row>
    <row r="202" spans="27:43" ht="15.75" customHeight="1">
      <c r="AA202" s="166" t="s">
        <v>9</v>
      </c>
      <c r="AB202" s="166" t="s">
        <v>160</v>
      </c>
      <c r="AC202" s="219" t="s">
        <v>239</v>
      </c>
      <c r="AD202" s="219"/>
      <c r="AE202" s="219"/>
      <c r="AF202" s="219"/>
      <c r="AG202" s="219"/>
      <c r="AH202" s="219"/>
      <c r="AI202" s="219"/>
      <c r="AJ202" s="219"/>
      <c r="AK202" s="219"/>
      <c r="AL202" s="219"/>
      <c r="AM202" s="160"/>
      <c r="AN202" s="160"/>
      <c r="AO202" s="160"/>
      <c r="AP202" s="160"/>
      <c r="AQ202" s="160"/>
    </row>
    <row r="203" spans="27:43" ht="15.75" customHeight="1">
      <c r="AA203" s="171"/>
      <c r="AB203" s="171"/>
      <c r="AC203" s="218">
        <v>10</v>
      </c>
      <c r="AD203" s="189">
        <v>20</v>
      </c>
      <c r="AE203" s="189">
        <v>50</v>
      </c>
      <c r="AF203" s="189">
        <v>100</v>
      </c>
      <c r="AG203" s="189">
        <v>200</v>
      </c>
      <c r="AH203" s="189">
        <v>500</v>
      </c>
      <c r="AI203" s="190">
        <v>1000</v>
      </c>
      <c r="AJ203" s="190">
        <v>2000</v>
      </c>
      <c r="AK203" s="190">
        <v>5000</v>
      </c>
      <c r="AL203" s="190">
        <v>8000</v>
      </c>
      <c r="AM203" s="160"/>
      <c r="AN203" s="160"/>
      <c r="AO203" s="160"/>
      <c r="AP203" s="160"/>
      <c r="AQ203" s="160"/>
    </row>
    <row r="204" spans="27:43" ht="15.75" customHeight="1">
      <c r="AA204" s="177">
        <v>1</v>
      </c>
      <c r="AB204" s="178" t="s">
        <v>10</v>
      </c>
      <c r="AC204" s="180">
        <v>0.67500000000000004</v>
      </c>
      <c r="AD204" s="180">
        <v>0.57199999999999995</v>
      </c>
      <c r="AE204" s="180">
        <v>0.47699999999999998</v>
      </c>
      <c r="AF204" s="180">
        <v>0.315</v>
      </c>
      <c r="AG204" s="180">
        <v>0.25</v>
      </c>
      <c r="AH204" s="180">
        <v>0.214</v>
      </c>
      <c r="AI204" s="180">
        <v>0.14399999999999999</v>
      </c>
      <c r="AJ204" s="180">
        <v>0.13</v>
      </c>
      <c r="AK204" s="180">
        <v>0.11700000000000001</v>
      </c>
      <c r="AL204" s="180">
        <v>0.10199999999999999</v>
      </c>
      <c r="AM204" s="160"/>
      <c r="AN204" s="160"/>
      <c r="AO204" s="160"/>
      <c r="AP204" s="160"/>
      <c r="AQ204" s="160"/>
    </row>
    <row r="205" spans="27:43" ht="15.75" customHeight="1">
      <c r="AA205" s="177">
        <v>2</v>
      </c>
      <c r="AB205" s="178" t="s">
        <v>14</v>
      </c>
      <c r="AC205" s="180">
        <v>0.91800000000000004</v>
      </c>
      <c r="AD205" s="180">
        <v>0.80400000000000005</v>
      </c>
      <c r="AE205" s="180">
        <v>0.76700000000000002</v>
      </c>
      <c r="AF205" s="180">
        <v>0.64900000000000002</v>
      </c>
      <c r="AG205" s="180">
        <v>0.40200000000000002</v>
      </c>
      <c r="AH205" s="180">
        <v>0.34599999999999997</v>
      </c>
      <c r="AI205" s="180">
        <v>0.29199999999999998</v>
      </c>
      <c r="AJ205" s="180">
        <v>0.26200000000000001</v>
      </c>
      <c r="AK205" s="180">
        <v>0.23499999999999999</v>
      </c>
      <c r="AL205" s="180">
        <v>0.20399999999999999</v>
      </c>
      <c r="AM205" s="160"/>
      <c r="AN205" s="160"/>
      <c r="AO205" s="160"/>
      <c r="AP205" s="160"/>
      <c r="AQ205" s="160"/>
    </row>
    <row r="206" spans="27:43" ht="15.75" customHeight="1">
      <c r="AA206" s="177">
        <v>3</v>
      </c>
      <c r="AB206" s="178" t="s">
        <v>17</v>
      </c>
      <c r="AC206" s="180">
        <v>0.54200000000000004</v>
      </c>
      <c r="AD206" s="180">
        <v>0.46400000000000002</v>
      </c>
      <c r="AE206" s="180">
        <v>0.38900000000000001</v>
      </c>
      <c r="AF206" s="180">
        <v>0.25600000000000001</v>
      </c>
      <c r="AG206" s="180">
        <v>0.214</v>
      </c>
      <c r="AH206" s="180">
        <v>0.17799999999999999</v>
      </c>
      <c r="AI206" s="180">
        <v>0.12</v>
      </c>
      <c r="AJ206" s="180">
        <v>0.108</v>
      </c>
      <c r="AK206" s="180">
        <v>9.7000000000000003E-2</v>
      </c>
      <c r="AL206" s="180">
        <v>8.4000000000000005E-2</v>
      </c>
      <c r="AM206" s="160"/>
      <c r="AN206" s="160"/>
      <c r="AO206" s="160"/>
      <c r="AP206" s="160"/>
      <c r="AQ206" s="160"/>
    </row>
    <row r="207" spans="27:43" ht="15.75" customHeight="1">
      <c r="AA207" s="177">
        <v>4</v>
      </c>
      <c r="AB207" s="178" t="s">
        <v>166</v>
      </c>
      <c r="AC207" s="180">
        <v>0.57399999999999995</v>
      </c>
      <c r="AD207" s="180">
        <v>0.46800000000000003</v>
      </c>
      <c r="AE207" s="180">
        <v>0.41599999999999998</v>
      </c>
      <c r="AF207" s="180">
        <v>0.27500000000000002</v>
      </c>
      <c r="AG207" s="180">
        <v>0.22600000000000001</v>
      </c>
      <c r="AH207" s="180">
        <v>0.19</v>
      </c>
      <c r="AI207" s="180">
        <v>0.13</v>
      </c>
      <c r="AJ207" s="180">
        <v>0.11700000000000001</v>
      </c>
      <c r="AK207" s="180">
        <v>0.105</v>
      </c>
      <c r="AL207" s="180">
        <v>9.0999999999999998E-2</v>
      </c>
      <c r="AM207" s="160"/>
      <c r="AN207" s="160"/>
      <c r="AO207" s="160"/>
      <c r="AP207" s="160"/>
      <c r="AQ207" s="160"/>
    </row>
    <row r="208" spans="27:43" ht="15.75" customHeight="1">
      <c r="AA208" s="177">
        <v>5</v>
      </c>
      <c r="AB208" s="178" t="s">
        <v>21</v>
      </c>
      <c r="AC208" s="180">
        <v>0.64300000000000002</v>
      </c>
      <c r="AD208" s="180">
        <v>0.55200000000000005</v>
      </c>
      <c r="AE208" s="180">
        <v>0.46</v>
      </c>
      <c r="AF208" s="180">
        <v>0.307</v>
      </c>
      <c r="AG208" s="180">
        <v>0.246</v>
      </c>
      <c r="AH208" s="180">
        <v>0.214</v>
      </c>
      <c r="AI208" s="180">
        <v>0.14199999999999999</v>
      </c>
      <c r="AJ208" s="180">
        <v>0.127</v>
      </c>
      <c r="AK208" s="180">
        <v>0.114</v>
      </c>
      <c r="AL208" s="180">
        <v>9.9000000000000005E-2</v>
      </c>
      <c r="AM208" s="160"/>
      <c r="AN208" s="160"/>
      <c r="AO208" s="160"/>
      <c r="AP208" s="160"/>
      <c r="AQ208" s="160"/>
    </row>
    <row r="209" spans="27:43" ht="15.75" customHeight="1">
      <c r="AA209" s="160"/>
      <c r="AB209" s="160"/>
      <c r="AC209" s="160"/>
      <c r="AD209" s="160"/>
      <c r="AE209" s="160"/>
      <c r="AF209" s="160"/>
      <c r="AG209" s="160"/>
      <c r="AH209" s="160"/>
      <c r="AI209" s="160"/>
      <c r="AJ209" s="160"/>
      <c r="AK209" s="160"/>
      <c r="AL209" s="160"/>
      <c r="AM209" s="160"/>
      <c r="AN209" s="160"/>
      <c r="AO209" s="160"/>
      <c r="AP209" s="160"/>
      <c r="AQ209" s="160"/>
    </row>
    <row r="210" spans="27:43" ht="15.75" customHeight="1">
      <c r="AA210" s="160"/>
      <c r="AB210" s="160" t="s">
        <v>640</v>
      </c>
      <c r="AC210" s="160"/>
      <c r="AD210" s="160"/>
      <c r="AE210" s="160"/>
      <c r="AF210" s="160"/>
      <c r="AG210" s="160"/>
      <c r="AH210" s="160"/>
      <c r="AI210" s="160"/>
      <c r="AJ210" s="160"/>
      <c r="AK210" s="160"/>
      <c r="AL210" s="160"/>
      <c r="AM210" s="160"/>
      <c r="AN210" s="160"/>
      <c r="AO210" s="160"/>
      <c r="AP210" s="160"/>
      <c r="AQ210" s="160"/>
    </row>
    <row r="211" spans="27:43" ht="15.75" customHeight="1">
      <c r="AA211" s="160"/>
      <c r="AB211" s="197" t="s">
        <v>243</v>
      </c>
      <c r="AC211" s="220" t="s">
        <v>244</v>
      </c>
      <c r="AD211" s="507"/>
      <c r="AE211" s="220"/>
      <c r="AF211" s="220"/>
      <c r="AG211" s="220"/>
      <c r="AH211" s="220"/>
      <c r="AI211" s="220"/>
      <c r="AJ211" s="220"/>
      <c r="AK211" s="160"/>
      <c r="AL211" s="160"/>
      <c r="AM211" s="160"/>
      <c r="AN211" s="160"/>
      <c r="AO211" s="160"/>
      <c r="AP211" s="160"/>
      <c r="AQ211" s="160"/>
    </row>
    <row r="212" spans="27:43" ht="15.75" customHeight="1">
      <c r="AA212" s="160"/>
      <c r="AB212" s="171"/>
      <c r="AC212" s="192">
        <v>5</v>
      </c>
      <c r="AD212" s="192">
        <v>10</v>
      </c>
      <c r="AE212" s="192">
        <v>50</v>
      </c>
      <c r="AF212" s="192">
        <v>100</v>
      </c>
      <c r="AG212" s="192">
        <v>500</v>
      </c>
      <c r="AH212" s="192">
        <v>1000</v>
      </c>
      <c r="AI212" s="192">
        <v>10000</v>
      </c>
      <c r="AJ212" s="192">
        <v>20000</v>
      </c>
      <c r="AK212" s="160"/>
      <c r="AL212" s="160"/>
      <c r="AM212" s="160"/>
      <c r="AN212" s="160"/>
      <c r="AO212" s="160"/>
      <c r="AP212" s="160"/>
      <c r="AQ212" s="160"/>
    </row>
    <row r="213" spans="27:43" ht="15.75" customHeight="1">
      <c r="AA213" s="160"/>
      <c r="AB213" s="192" t="s">
        <v>245</v>
      </c>
      <c r="AC213" s="192">
        <v>0.38</v>
      </c>
      <c r="AD213" s="192">
        <v>0.26</v>
      </c>
      <c r="AE213" s="192">
        <v>0.19</v>
      </c>
      <c r="AF213" s="192">
        <v>0.15</v>
      </c>
      <c r="AG213" s="192">
        <v>0.09</v>
      </c>
      <c r="AH213" s="192">
        <v>0.06</v>
      </c>
      <c r="AI213" s="192">
        <v>3.2000000000000001E-2</v>
      </c>
      <c r="AJ213" s="192">
        <v>0</v>
      </c>
      <c r="AK213" s="160"/>
      <c r="AL213" s="160"/>
      <c r="AM213" s="160"/>
      <c r="AN213" s="160"/>
      <c r="AO213" s="160"/>
      <c r="AP213" s="160"/>
      <c r="AQ213" s="160"/>
    </row>
    <row r="214" spans="27:43" ht="15.75" customHeight="1">
      <c r="AA214" s="160"/>
      <c r="AB214" s="192" t="s">
        <v>117</v>
      </c>
      <c r="AC214" s="192">
        <v>0.64</v>
      </c>
      <c r="AD214" s="192">
        <v>0.43</v>
      </c>
      <c r="AE214" s="192">
        <v>0.3</v>
      </c>
      <c r="AF214" s="192">
        <v>0.23</v>
      </c>
      <c r="AG214" s="192">
        <v>0.13</v>
      </c>
      <c r="AH214" s="192">
        <v>8.5999999999999993E-2</v>
      </c>
      <c r="AI214" s="192">
        <v>4.5999999999999999E-2</v>
      </c>
      <c r="AJ214" s="192">
        <v>0</v>
      </c>
      <c r="AK214" s="160"/>
      <c r="AL214" s="160"/>
      <c r="AM214" s="160"/>
      <c r="AN214" s="160"/>
      <c r="AO214" s="160"/>
      <c r="AP214" s="160"/>
      <c r="AQ214" s="160"/>
    </row>
    <row r="215" spans="27:43" ht="15.75" customHeight="1">
      <c r="AA215" s="160"/>
      <c r="AB215" s="160"/>
      <c r="AC215" s="160"/>
      <c r="AD215" s="160"/>
      <c r="AE215" s="160"/>
      <c r="AF215" s="160"/>
      <c r="AG215" s="160"/>
      <c r="AH215" s="160"/>
      <c r="AI215" s="160"/>
      <c r="AJ215" s="160"/>
      <c r="AK215" s="160"/>
      <c r="AL215" s="160"/>
      <c r="AM215" s="160"/>
      <c r="AN215" s="160"/>
      <c r="AO215" s="160"/>
      <c r="AP215" s="160"/>
      <c r="AQ215" s="160"/>
    </row>
    <row r="216" spans="27:43" ht="15.75" customHeight="1">
      <c r="AA216" s="1379" t="s">
        <v>246</v>
      </c>
      <c r="AB216" s="1379"/>
      <c r="AC216" s="1379"/>
      <c r="AD216" s="1379"/>
      <c r="AE216" s="1379"/>
      <c r="AF216" s="1379"/>
      <c r="AG216" s="1379"/>
      <c r="AH216" s="1379"/>
      <c r="AI216" s="1379"/>
      <c r="AJ216" s="1379"/>
      <c r="AK216" s="1379"/>
      <c r="AL216" s="1379"/>
      <c r="AM216" s="1379"/>
      <c r="AN216" s="160"/>
      <c r="AO216" s="160"/>
      <c r="AP216" s="160"/>
      <c r="AQ216" s="160"/>
    </row>
    <row r="217" spans="27:43" ht="15.75" customHeight="1">
      <c r="AA217" s="197" t="s">
        <v>247</v>
      </c>
      <c r="AB217" s="1380" t="s">
        <v>248</v>
      </c>
      <c r="AC217" s="220" t="s">
        <v>249</v>
      </c>
      <c r="AD217" s="220"/>
      <c r="AE217" s="220"/>
      <c r="AF217" s="220"/>
      <c r="AG217" s="220"/>
      <c r="AH217" s="220"/>
      <c r="AI217" s="220"/>
      <c r="AJ217" s="220"/>
      <c r="AK217" s="220"/>
      <c r="AL217" s="220"/>
      <c r="AM217" s="220"/>
      <c r="AN217" s="160"/>
      <c r="AO217" s="160"/>
      <c r="AP217" s="160"/>
      <c r="AQ217" s="160"/>
    </row>
    <row r="218" spans="27:43" ht="15.75" customHeight="1">
      <c r="AA218" s="214" t="s">
        <v>250</v>
      </c>
      <c r="AB218" s="1381"/>
      <c r="AC218" s="220" t="s">
        <v>251</v>
      </c>
      <c r="AD218" s="220"/>
      <c r="AE218" s="220"/>
      <c r="AF218" s="220"/>
      <c r="AG218" s="220"/>
      <c r="AH218" s="220"/>
      <c r="AI218" s="220"/>
      <c r="AJ218" s="220"/>
      <c r="AK218" s="220"/>
      <c r="AL218" s="220"/>
      <c r="AM218" s="220"/>
      <c r="AN218" s="160"/>
      <c r="AO218" s="160"/>
      <c r="AP218" s="160"/>
      <c r="AQ218" s="160"/>
    </row>
    <row r="219" spans="27:43" ht="15.75" customHeight="1">
      <c r="AA219" s="171"/>
      <c r="AB219" s="172"/>
      <c r="AC219" s="192">
        <v>0.5</v>
      </c>
      <c r="AD219" s="192">
        <v>1</v>
      </c>
      <c r="AE219" s="192">
        <v>5</v>
      </c>
      <c r="AF219" s="192">
        <v>15</v>
      </c>
      <c r="AG219" s="192">
        <v>25</v>
      </c>
      <c r="AH219" s="192">
        <v>50</v>
      </c>
      <c r="AI219" s="192">
        <v>100</v>
      </c>
      <c r="AJ219" s="192">
        <v>200</v>
      </c>
      <c r="AK219" s="192">
        <v>500</v>
      </c>
      <c r="AL219" s="192">
        <v>1000</v>
      </c>
      <c r="AM219" s="192">
        <v>2000</v>
      </c>
      <c r="AN219" s="160"/>
      <c r="AO219" s="160"/>
      <c r="AP219" s="160"/>
      <c r="AQ219" s="160"/>
    </row>
    <row r="220" spans="27:43" ht="15.75" customHeight="1">
      <c r="AA220" s="202" t="s">
        <v>173</v>
      </c>
      <c r="AB220" s="192" t="s">
        <v>252</v>
      </c>
      <c r="AC220" s="192"/>
      <c r="AD220" s="192">
        <v>2.5000000000000001E-2</v>
      </c>
      <c r="AE220" s="192">
        <v>2.3E-2</v>
      </c>
      <c r="AF220" s="192">
        <v>1.9E-2</v>
      </c>
      <c r="AG220" s="192">
        <v>1.7000000000000001E-2</v>
      </c>
      <c r="AH220" s="192">
        <v>1.4999999999999999E-2</v>
      </c>
      <c r="AI220" s="192">
        <v>1.2500000000000001E-2</v>
      </c>
      <c r="AJ220" s="192">
        <v>0.01</v>
      </c>
      <c r="AK220" s="192">
        <v>7.4999999999999997E-3</v>
      </c>
      <c r="AL220" s="192">
        <v>4.7000000000000002E-3</v>
      </c>
      <c r="AM220" s="192">
        <v>2.5000000000000001E-3</v>
      </c>
      <c r="AN220" s="160"/>
      <c r="AO220" s="160"/>
      <c r="AP220" s="160"/>
      <c r="AQ220" s="160"/>
    </row>
    <row r="221" spans="27:43" ht="15.75" customHeight="1">
      <c r="AA221" s="202" t="s">
        <v>177</v>
      </c>
      <c r="AB221" s="192" t="s">
        <v>253</v>
      </c>
      <c r="AC221" s="192"/>
      <c r="AD221" s="192">
        <v>2.5000000000000001E-2</v>
      </c>
      <c r="AE221" s="192">
        <v>2.3E-2</v>
      </c>
      <c r="AF221" s="192">
        <v>1.9E-2</v>
      </c>
      <c r="AG221" s="192">
        <v>1.7000000000000001E-2</v>
      </c>
      <c r="AH221" s="192">
        <v>1.4999999999999999E-2</v>
      </c>
      <c r="AI221" s="192">
        <v>1.2500000000000001E-2</v>
      </c>
      <c r="AJ221" s="192">
        <v>0.01</v>
      </c>
      <c r="AK221" s="192">
        <v>7.4999999999999997E-3</v>
      </c>
      <c r="AL221" s="192">
        <v>4.7000000000000002E-3</v>
      </c>
      <c r="AM221" s="192">
        <v>2.5000000000000001E-3</v>
      </c>
      <c r="AN221" s="160"/>
      <c r="AO221" s="160"/>
      <c r="AP221" s="160"/>
      <c r="AQ221" s="160"/>
    </row>
    <row r="222" spans="27:43" ht="15.75" customHeight="1">
      <c r="AA222" s="202" t="s">
        <v>182</v>
      </c>
      <c r="AB222" s="192" t="s">
        <v>254</v>
      </c>
      <c r="AC222" s="192"/>
      <c r="AD222" s="192">
        <v>2.5000000000000001E-2</v>
      </c>
      <c r="AE222" s="192">
        <v>2.3E-2</v>
      </c>
      <c r="AF222" s="192">
        <v>1.9E-2</v>
      </c>
      <c r="AG222" s="192">
        <v>1.7000000000000001E-2</v>
      </c>
      <c r="AH222" s="192">
        <v>1.4999999999999999E-2</v>
      </c>
      <c r="AI222" s="192">
        <v>1.2500000000000001E-2</v>
      </c>
      <c r="AJ222" s="192">
        <v>0.01</v>
      </c>
      <c r="AK222" s="192">
        <v>7.4999999999999997E-3</v>
      </c>
      <c r="AL222" s="192">
        <v>4.7000000000000002E-3</v>
      </c>
      <c r="AM222" s="192">
        <v>2.5000000000000001E-3</v>
      </c>
      <c r="AN222" s="160"/>
      <c r="AO222" s="160"/>
      <c r="AP222" s="160"/>
      <c r="AQ222" s="160"/>
    </row>
    <row r="223" spans="27:43" ht="15.75" customHeight="1">
      <c r="AA223" s="202" t="s">
        <v>194</v>
      </c>
      <c r="AB223" s="192" t="s">
        <v>255</v>
      </c>
      <c r="AC223" s="192"/>
      <c r="AD223" s="192">
        <v>2.5000000000000001E-2</v>
      </c>
      <c r="AE223" s="192">
        <v>2.3E-2</v>
      </c>
      <c r="AF223" s="192">
        <v>1.9E-2</v>
      </c>
      <c r="AG223" s="192">
        <v>1.7000000000000001E-2</v>
      </c>
      <c r="AH223" s="192">
        <v>1.4999999999999999E-2</v>
      </c>
      <c r="AI223" s="192">
        <v>1.2500000000000001E-2</v>
      </c>
      <c r="AJ223" s="192">
        <v>0.01</v>
      </c>
      <c r="AK223" s="192">
        <v>7.4999999999999997E-3</v>
      </c>
      <c r="AL223" s="192">
        <v>4.7000000000000002E-3</v>
      </c>
      <c r="AM223" s="192">
        <v>2.5000000000000001E-3</v>
      </c>
      <c r="AN223" s="160"/>
      <c r="AO223" s="160"/>
      <c r="AP223" s="160"/>
      <c r="AQ223" s="160"/>
    </row>
    <row r="224" spans="27:43" ht="15.75" customHeight="1">
      <c r="AA224" s="202" t="s">
        <v>195</v>
      </c>
      <c r="AB224" s="192" t="s">
        <v>256</v>
      </c>
      <c r="AC224" s="192"/>
      <c r="AD224" s="192">
        <v>2.5000000000000001E-2</v>
      </c>
      <c r="AE224" s="192">
        <v>2.3E-2</v>
      </c>
      <c r="AF224" s="192">
        <v>1.9E-2</v>
      </c>
      <c r="AG224" s="192">
        <v>1.7000000000000001E-2</v>
      </c>
      <c r="AH224" s="192">
        <v>1.4999999999999999E-2</v>
      </c>
      <c r="AI224" s="192">
        <v>1.2500000000000001E-2</v>
      </c>
      <c r="AJ224" s="192">
        <v>0.01</v>
      </c>
      <c r="AK224" s="192">
        <v>7.4999999999999997E-3</v>
      </c>
      <c r="AL224" s="192">
        <v>4.7000000000000002E-3</v>
      </c>
      <c r="AM224" s="192">
        <v>2.5000000000000001E-3</v>
      </c>
      <c r="AN224" s="160"/>
      <c r="AO224" s="160"/>
      <c r="AP224" s="160"/>
      <c r="AQ224" s="160"/>
    </row>
    <row r="225" spans="27:43" ht="15.75" customHeight="1">
      <c r="AA225" s="202"/>
      <c r="AB225" s="192" t="s">
        <v>35</v>
      </c>
      <c r="AC225" s="1382" t="s">
        <v>257</v>
      </c>
      <c r="AD225" s="1382"/>
      <c r="AE225" s="1382"/>
      <c r="AF225" s="1382"/>
      <c r="AG225" s="1382"/>
      <c r="AH225" s="1382"/>
      <c r="AI225" s="1382"/>
      <c r="AJ225" s="1382"/>
      <c r="AK225" s="1382"/>
      <c r="AL225" s="1382"/>
      <c r="AM225" s="1382"/>
      <c r="AN225" s="160"/>
      <c r="AO225" s="160"/>
      <c r="AP225" s="160"/>
      <c r="AQ225" s="160"/>
    </row>
    <row r="226" spans="27:43" ht="15.75" customHeight="1">
      <c r="AA226" s="202"/>
      <c r="AB226" s="192" t="s">
        <v>35</v>
      </c>
      <c r="AC226" s="192">
        <v>0.5</v>
      </c>
      <c r="AD226" s="192">
        <v>1</v>
      </c>
      <c r="AE226" s="192">
        <v>5</v>
      </c>
      <c r="AF226" s="192">
        <v>15</v>
      </c>
      <c r="AG226" s="192">
        <v>25</v>
      </c>
      <c r="AH226" s="192">
        <v>50</v>
      </c>
      <c r="AI226" s="192">
        <v>100</v>
      </c>
      <c r="AJ226" s="192">
        <v>200</v>
      </c>
      <c r="AK226" s="192">
        <v>500</v>
      </c>
      <c r="AL226" s="192">
        <v>1000</v>
      </c>
      <c r="AM226" s="192">
        <v>2000</v>
      </c>
      <c r="AN226" s="160"/>
      <c r="AO226" s="160"/>
      <c r="AP226" s="160"/>
      <c r="AQ226" s="160"/>
    </row>
    <row r="227" spans="27:43" ht="15.75" customHeight="1">
      <c r="AA227" s="202" t="s">
        <v>173</v>
      </c>
      <c r="AB227" s="192" t="s">
        <v>258</v>
      </c>
      <c r="AC227" s="192">
        <v>0.1026</v>
      </c>
      <c r="AD227" s="192">
        <v>8.5500000000000007E-2</v>
      </c>
      <c r="AE227" s="192">
        <v>7.6499999999999999E-2</v>
      </c>
      <c r="AF227" s="192">
        <v>6.7500000000000004E-2</v>
      </c>
      <c r="AG227" s="192">
        <v>4.4999999999999998E-2</v>
      </c>
      <c r="AH227" s="192">
        <v>3.5999999999999997E-2</v>
      </c>
      <c r="AI227" s="192">
        <v>3.15E-2</v>
      </c>
      <c r="AJ227" s="192">
        <v>2.2499999999999999E-2</v>
      </c>
      <c r="AK227" s="192">
        <v>1.5699999999999999E-2</v>
      </c>
      <c r="AL227" s="192">
        <v>1.12E-2</v>
      </c>
      <c r="AM227" s="192">
        <v>5.5999999999999999E-3</v>
      </c>
      <c r="AN227" s="160"/>
      <c r="AO227" s="160"/>
      <c r="AP227" s="160"/>
      <c r="AQ227" s="160"/>
    </row>
    <row r="228" spans="27:43" ht="15.75" customHeight="1">
      <c r="AA228" s="202" t="s">
        <v>177</v>
      </c>
      <c r="AB228" s="192" t="s">
        <v>259</v>
      </c>
      <c r="AC228" s="192">
        <v>7.0199999999999999E-2</v>
      </c>
      <c r="AD228" s="192">
        <v>5.8500000000000003E-2</v>
      </c>
      <c r="AE228" s="192">
        <v>5.3999999999999999E-2</v>
      </c>
      <c r="AF228" s="192">
        <v>4.4999999999999998E-2</v>
      </c>
      <c r="AG228" s="192">
        <v>3.15E-2</v>
      </c>
      <c r="AH228" s="192">
        <v>2.52E-2</v>
      </c>
      <c r="AI228" s="192">
        <v>2.1999999999999999E-2</v>
      </c>
      <c r="AJ228" s="192">
        <v>1.5699999999999999E-2</v>
      </c>
      <c r="AK228" s="192">
        <v>1.12E-2</v>
      </c>
      <c r="AL228" s="192">
        <v>8.0999999999999996E-3</v>
      </c>
      <c r="AM228" s="192">
        <v>4.4999999999999997E-3</v>
      </c>
      <c r="AN228" s="160"/>
      <c r="AO228" s="160"/>
      <c r="AP228" s="160"/>
      <c r="AQ228" s="160"/>
    </row>
    <row r="229" spans="27:43" ht="15.75" customHeight="1">
      <c r="AA229" s="202" t="s">
        <v>182</v>
      </c>
      <c r="AB229" s="192" t="s">
        <v>260</v>
      </c>
      <c r="AC229" s="192">
        <v>6.6600000000000006E-2</v>
      </c>
      <c r="AD229" s="192">
        <v>5.5800000000000002E-2</v>
      </c>
      <c r="AE229" s="192">
        <v>5.1299999999999998E-2</v>
      </c>
      <c r="AF229" s="192">
        <v>4.2700000000000002E-2</v>
      </c>
      <c r="AG229" s="192">
        <v>3.0099999999999998E-2</v>
      </c>
      <c r="AH229" s="192">
        <v>2.3800000000000002E-2</v>
      </c>
      <c r="AI229" s="192">
        <v>2.1100000000000001E-2</v>
      </c>
      <c r="AJ229" s="192">
        <v>1.4800000000000001E-2</v>
      </c>
      <c r="AK229" s="192">
        <v>1.0800000000000001E-2</v>
      </c>
      <c r="AL229" s="192">
        <v>7.6E-3</v>
      </c>
      <c r="AM229" s="192">
        <v>4.0000000000000001E-3</v>
      </c>
      <c r="AN229" s="160"/>
      <c r="AO229" s="160"/>
      <c r="AP229" s="160"/>
      <c r="AQ229" s="160"/>
    </row>
    <row r="230" spans="27:43" ht="15.75" customHeight="1">
      <c r="AA230" s="202" t="s">
        <v>194</v>
      </c>
      <c r="AB230" s="192" t="s">
        <v>261</v>
      </c>
      <c r="AC230" s="192">
        <v>6.6600000000000006E-2</v>
      </c>
      <c r="AD230" s="192">
        <v>5.5800000000000002E-2</v>
      </c>
      <c r="AE230" s="192">
        <v>5.1299999999999998E-2</v>
      </c>
      <c r="AF230" s="192">
        <v>4.2700000000000002E-2</v>
      </c>
      <c r="AG230" s="192">
        <v>3.0099999999999998E-2</v>
      </c>
      <c r="AH230" s="192">
        <v>2.3800000000000002E-2</v>
      </c>
      <c r="AI230" s="192">
        <v>2.1100000000000001E-2</v>
      </c>
      <c r="AJ230" s="192">
        <v>1.4800000000000001E-2</v>
      </c>
      <c r="AK230" s="192">
        <v>1.0800000000000001E-2</v>
      </c>
      <c r="AL230" s="192">
        <v>7.6E-3</v>
      </c>
      <c r="AM230" s="192">
        <v>4.0000000000000001E-3</v>
      </c>
      <c r="AN230" s="160"/>
      <c r="AO230" s="160"/>
      <c r="AP230" s="160"/>
      <c r="AQ230" s="160"/>
    </row>
    <row r="231" spans="27:43" ht="15.75" customHeight="1">
      <c r="AA231" s="202" t="s">
        <v>195</v>
      </c>
      <c r="AB231" s="192" t="s">
        <v>262</v>
      </c>
      <c r="AC231" s="192">
        <v>9.6000000000000002E-2</v>
      </c>
      <c r="AD231" s="192">
        <v>7.1999999999999995E-2</v>
      </c>
      <c r="AE231" s="192">
        <v>6.7500000000000004E-2</v>
      </c>
      <c r="AF231" s="192">
        <v>5.8500000000000003E-2</v>
      </c>
      <c r="AG231" s="192">
        <v>3.8199999999999998E-2</v>
      </c>
      <c r="AH231" s="192">
        <v>3.0599999999999999E-2</v>
      </c>
      <c r="AI231" s="192">
        <v>2.7E-2</v>
      </c>
      <c r="AJ231" s="192">
        <v>1.9300000000000001E-2</v>
      </c>
      <c r="AK231" s="192">
        <v>1.12E-2</v>
      </c>
      <c r="AL231" s="192">
        <v>9.9000000000000008E-3</v>
      </c>
      <c r="AM231" s="192">
        <v>5.4999999999999997E-3</v>
      </c>
      <c r="AN231" s="160"/>
      <c r="AO231" s="160"/>
      <c r="AP231" s="160"/>
      <c r="AQ231" s="160"/>
    </row>
    <row r="232" spans="27:43" ht="15.75" customHeight="1">
      <c r="AA232" s="202"/>
      <c r="AB232" s="192" t="s">
        <v>35</v>
      </c>
      <c r="AC232" s="192">
        <v>0.5</v>
      </c>
      <c r="AD232" s="192">
        <v>1</v>
      </c>
      <c r="AE232" s="192">
        <v>5</v>
      </c>
      <c r="AF232" s="192">
        <v>15</v>
      </c>
      <c r="AG232" s="192">
        <v>25</v>
      </c>
      <c r="AH232" s="192">
        <v>50</v>
      </c>
      <c r="AI232" s="192">
        <v>100</v>
      </c>
      <c r="AJ232" s="192">
        <v>200</v>
      </c>
      <c r="AK232" s="192">
        <v>500</v>
      </c>
      <c r="AL232" s="192">
        <v>1000</v>
      </c>
      <c r="AM232" s="192">
        <v>2000</v>
      </c>
      <c r="AN232" s="160"/>
      <c r="AO232" s="160"/>
      <c r="AP232" s="160"/>
      <c r="AQ232" s="160"/>
    </row>
    <row r="233" spans="27:43" ht="15.75" customHeight="1">
      <c r="AA233" s="202" t="s">
        <v>173</v>
      </c>
      <c r="AB233" s="192" t="s">
        <v>263</v>
      </c>
      <c r="AC233" s="192">
        <v>0.09</v>
      </c>
      <c r="AD233" s="192">
        <v>7.4999999999999997E-2</v>
      </c>
      <c r="AE233" s="192">
        <v>6.5000000000000002E-2</v>
      </c>
      <c r="AF233" s="192">
        <v>0.05</v>
      </c>
      <c r="AG233" s="192">
        <v>3.4000000000000002E-2</v>
      </c>
      <c r="AH233" s="192">
        <v>2.4E-2</v>
      </c>
      <c r="AI233" s="192">
        <v>2.2499999999999999E-2</v>
      </c>
      <c r="AJ233" s="192">
        <v>1.7999999999999999E-2</v>
      </c>
      <c r="AK233" s="192">
        <v>1.15E-2</v>
      </c>
      <c r="AL233" s="192">
        <v>9.4999999999999998E-3</v>
      </c>
      <c r="AM233" s="192">
        <v>5.0000000000000001E-3</v>
      </c>
      <c r="AN233" s="160"/>
      <c r="AO233" s="160"/>
      <c r="AP233" s="160"/>
      <c r="AQ233" s="160"/>
    </row>
    <row r="234" spans="27:43" ht="15.75" customHeight="1">
      <c r="AA234" s="202" t="s">
        <v>177</v>
      </c>
      <c r="AB234" s="192" t="s">
        <v>264</v>
      </c>
      <c r="AC234" s="192">
        <v>0.108</v>
      </c>
      <c r="AD234" s="192">
        <v>0.09</v>
      </c>
      <c r="AE234" s="192">
        <v>0.08</v>
      </c>
      <c r="AF234" s="192">
        <v>0.06</v>
      </c>
      <c r="AG234" s="192">
        <v>0.04</v>
      </c>
      <c r="AH234" s="192">
        <v>3.4000000000000002E-2</v>
      </c>
      <c r="AI234" s="192">
        <v>2.6499999999999999E-2</v>
      </c>
      <c r="AJ234" s="192">
        <v>2.1999999999999999E-2</v>
      </c>
      <c r="AK234" s="192">
        <v>1.6500000000000001E-2</v>
      </c>
      <c r="AL234" s="192">
        <v>1.15E-2</v>
      </c>
      <c r="AM234" s="192">
        <v>5.7000000000000002E-3</v>
      </c>
      <c r="AN234" s="160"/>
      <c r="AO234" s="160"/>
      <c r="AP234" s="160"/>
      <c r="AQ234" s="160"/>
    </row>
    <row r="235" spans="27:43" ht="15.75" customHeight="1">
      <c r="AA235" s="202" t="s">
        <v>182</v>
      </c>
      <c r="AB235" s="192" t="s">
        <v>265</v>
      </c>
      <c r="AC235" s="192">
        <v>7.5499999999999998E-2</v>
      </c>
      <c r="AD235" s="192">
        <v>6.3E-2</v>
      </c>
      <c r="AE235" s="192">
        <v>5.6000000000000001E-2</v>
      </c>
      <c r="AF235" s="192">
        <v>4.2000000000000003E-2</v>
      </c>
      <c r="AG235" s="192">
        <v>2.9000000000000001E-2</v>
      </c>
      <c r="AH235" s="192">
        <v>2.8000000000000001E-2</v>
      </c>
      <c r="AI235" s="192">
        <v>1.8499999999999999E-2</v>
      </c>
      <c r="AJ235" s="192">
        <v>1.4999999999999999E-2</v>
      </c>
      <c r="AK235" s="192">
        <v>1.15E-2</v>
      </c>
      <c r="AL235" s="192">
        <v>8.0000000000000002E-3</v>
      </c>
      <c r="AM235" s="192">
        <v>4.4999999999999997E-3</v>
      </c>
      <c r="AN235" s="160"/>
      <c r="AO235" s="160"/>
      <c r="AP235" s="160"/>
      <c r="AQ235" s="160"/>
    </row>
    <row r="236" spans="27:43" ht="15.75" customHeight="1">
      <c r="AA236" s="202" t="s">
        <v>194</v>
      </c>
      <c r="AB236" s="192" t="s">
        <v>266</v>
      </c>
      <c r="AC236" s="192">
        <v>7.5499999999999998E-2</v>
      </c>
      <c r="AD236" s="192">
        <v>6.3E-2</v>
      </c>
      <c r="AE236" s="192">
        <v>5.6000000000000001E-2</v>
      </c>
      <c r="AF236" s="192">
        <v>4.2000000000000003E-2</v>
      </c>
      <c r="AG236" s="192">
        <v>2.9000000000000001E-2</v>
      </c>
      <c r="AH236" s="192">
        <v>2.8000000000000001E-2</v>
      </c>
      <c r="AI236" s="192">
        <v>1.8499999999999999E-2</v>
      </c>
      <c r="AJ236" s="192">
        <v>1.4999999999999999E-2</v>
      </c>
      <c r="AK236" s="192">
        <v>1.15E-2</v>
      </c>
      <c r="AL236" s="192">
        <v>8.0000000000000002E-3</v>
      </c>
      <c r="AM236" s="192">
        <v>4.4999999999999997E-3</v>
      </c>
      <c r="AN236" s="160"/>
      <c r="AO236" s="160"/>
      <c r="AP236" s="160"/>
      <c r="AQ236" s="160"/>
    </row>
    <row r="237" spans="27:43" ht="15.75" customHeight="1">
      <c r="AA237" s="543" t="s">
        <v>195</v>
      </c>
      <c r="AB237" s="192" t="s">
        <v>727</v>
      </c>
      <c r="AC237" s="192">
        <v>7.1999999999999995E-2</v>
      </c>
      <c r="AD237" s="192">
        <v>0.06</v>
      </c>
      <c r="AE237" s="192">
        <v>5.2999999999999999E-2</v>
      </c>
      <c r="AF237" s="192">
        <v>0.04</v>
      </c>
      <c r="AG237" s="192">
        <v>2.75E-2</v>
      </c>
      <c r="AH237" s="192">
        <v>2.6499999999999999E-2</v>
      </c>
      <c r="AI237" s="192">
        <v>1.7500000000000002E-2</v>
      </c>
      <c r="AJ237" s="192">
        <v>1.4500000000000001E-2</v>
      </c>
      <c r="AK237" s="192">
        <v>1.0999999999999999E-2</v>
      </c>
      <c r="AL237" s="192">
        <v>7.4999999999999997E-3</v>
      </c>
      <c r="AM237" s="192">
        <v>4.0000000000000001E-3</v>
      </c>
      <c r="AN237" s="160"/>
      <c r="AO237" s="160"/>
      <c r="AP237" s="160"/>
      <c r="AQ237" s="160"/>
    </row>
    <row r="238" spans="27:43" ht="15.75" customHeight="1">
      <c r="AA238" s="160"/>
      <c r="AB238" s="160"/>
      <c r="AC238" s="160"/>
      <c r="AD238" s="160"/>
      <c r="AE238" s="160"/>
      <c r="AF238" s="160"/>
      <c r="AG238" s="160"/>
      <c r="AH238" s="160"/>
      <c r="AI238" s="160"/>
      <c r="AJ238" s="160"/>
      <c r="AK238" s="160"/>
      <c r="AL238" s="160"/>
      <c r="AM238" s="160"/>
      <c r="AN238" s="160"/>
      <c r="AO238" s="160"/>
      <c r="AP238" s="160"/>
      <c r="AQ238" s="160"/>
    </row>
    <row r="239" spans="27:43">
      <c r="AB239" s="160" t="s">
        <v>242</v>
      </c>
      <c r="AC239" s="160"/>
      <c r="AD239" s="160"/>
      <c r="AE239" s="160"/>
      <c r="AF239" s="160"/>
      <c r="AG239" s="160"/>
      <c r="AH239" s="160"/>
      <c r="AI239" s="160"/>
      <c r="AJ239" s="160"/>
    </row>
    <row r="240" spans="27:43">
      <c r="AB240" s="197" t="s">
        <v>243</v>
      </c>
      <c r="AC240" s="220" t="s">
        <v>244</v>
      </c>
      <c r="AD240" s="506"/>
      <c r="AE240" s="220"/>
      <c r="AF240" s="220"/>
      <c r="AG240" s="220"/>
      <c r="AH240" s="220"/>
      <c r="AI240" s="220"/>
      <c r="AJ240" s="220"/>
    </row>
    <row r="241" spans="28:38">
      <c r="AB241" s="171"/>
      <c r="AC241" s="192">
        <v>5</v>
      </c>
      <c r="AD241" s="192">
        <v>10</v>
      </c>
      <c r="AE241" s="192">
        <v>50</v>
      </c>
      <c r="AF241" s="192">
        <v>100</v>
      </c>
      <c r="AG241" s="192">
        <v>500</v>
      </c>
      <c r="AH241" s="192">
        <v>1000</v>
      </c>
      <c r="AI241" s="192">
        <v>10000</v>
      </c>
      <c r="AJ241" s="192">
        <v>20000</v>
      </c>
    </row>
    <row r="242" spans="28:38">
      <c r="AB242" s="192" t="s">
        <v>245</v>
      </c>
      <c r="AC242" s="192">
        <v>0.32</v>
      </c>
      <c r="AD242" s="192">
        <v>0.21</v>
      </c>
      <c r="AE242" s="192">
        <v>0.16</v>
      </c>
      <c r="AF242" s="192">
        <v>0.13</v>
      </c>
      <c r="AG242" s="192">
        <v>0.06</v>
      </c>
      <c r="AH242" s="192">
        <v>0.04</v>
      </c>
      <c r="AI242" s="192">
        <v>1.2E-2</v>
      </c>
      <c r="AJ242" s="192">
        <v>8.0000000000000002E-3</v>
      </c>
    </row>
    <row r="243" spans="28:38">
      <c r="AB243" s="192" t="s">
        <v>117</v>
      </c>
      <c r="AC243" s="192">
        <v>0.5</v>
      </c>
      <c r="AD243" s="192">
        <v>0.34</v>
      </c>
      <c r="AE243" s="192">
        <v>0.24</v>
      </c>
      <c r="AF243" s="192">
        <v>0.18</v>
      </c>
      <c r="AG243" s="192">
        <v>0.1</v>
      </c>
      <c r="AH243" s="192">
        <v>0.06</v>
      </c>
      <c r="AI243" s="192">
        <v>0.02</v>
      </c>
      <c r="AJ243" s="192">
        <v>1.2E-2</v>
      </c>
    </row>
    <row r="245" spans="28:38">
      <c r="AB245" s="157" t="s">
        <v>884</v>
      </c>
    </row>
    <row r="246" spans="28:38">
      <c r="AB246" s="157" t="s">
        <v>885</v>
      </c>
    </row>
    <row r="247" spans="28:38">
      <c r="AB247" s="191" t="s">
        <v>886</v>
      </c>
      <c r="AC247" s="825">
        <v>15</v>
      </c>
      <c r="AD247" s="191">
        <v>25</v>
      </c>
      <c r="AE247" s="191">
        <v>50</v>
      </c>
      <c r="AF247" s="191">
        <v>100</v>
      </c>
      <c r="AG247" s="191">
        <v>200</v>
      </c>
      <c r="AH247" s="191">
        <v>500</v>
      </c>
      <c r="AI247" s="826">
        <v>1000</v>
      </c>
      <c r="AJ247" s="826">
        <v>2000</v>
      </c>
      <c r="AK247" s="826">
        <v>5000</v>
      </c>
      <c r="AL247" s="826">
        <v>10000</v>
      </c>
    </row>
    <row r="248" spans="28:38">
      <c r="AB248" s="191" t="s">
        <v>887</v>
      </c>
      <c r="AC248" s="191">
        <v>1.9E-2</v>
      </c>
      <c r="AD248" s="191">
        <v>1.7000000000000001E-2</v>
      </c>
      <c r="AE248" s="191">
        <v>1.4999999999999999E-2</v>
      </c>
      <c r="AF248" s="191">
        <v>1.2500000000000001E-2</v>
      </c>
      <c r="AG248" s="191">
        <v>0.01</v>
      </c>
      <c r="AH248" s="191">
        <v>7.4999999999999997E-3</v>
      </c>
      <c r="AI248" s="191">
        <v>4.7000000000000002E-3</v>
      </c>
      <c r="AJ248" s="191">
        <v>2.5000000000000001E-3</v>
      </c>
      <c r="AK248" s="191">
        <v>2E-3</v>
      </c>
      <c r="AL248" s="191">
        <v>1E-3</v>
      </c>
    </row>
  </sheetData>
  <mergeCells count="8">
    <mergeCell ref="AA216:AM216"/>
    <mergeCell ref="AB217:AB218"/>
    <mergeCell ref="AC225:AM225"/>
    <mergeCell ref="D2:E2"/>
    <mergeCell ref="D3:E3"/>
    <mergeCell ref="AC14:AN14"/>
    <mergeCell ref="AC139:AN139"/>
    <mergeCell ref="D4:E4"/>
  </mergeCells>
  <phoneticPr fontId="87" type="noConversion"/>
  <conditionalFormatting sqref="J8:K8 F8">
    <cfRule type="cellIs" dxfId="16" priority="2" stopIfTrue="1" operator="notEqual">
      <formula>""</formula>
    </cfRule>
  </conditionalFormatting>
  <dataValidations count="1">
    <dataValidation allowBlank="1" showInputMessage="1" showErrorMessage="1" prompt="Nhập giá trị TMĐT vào đây" sqref="D4:E4"/>
  </dataValidations>
  <hyperlinks>
    <hyperlink ref="B1" location="THKP!A1" tooltip="Về bảng tổng hợp giá trị dự toán" display="BẢNG TÍNH NỘI SUY CÁC ĐỊNH MỨC TỶ LỆ"/>
    <hyperlink ref="AA1" location="ML!A1" tooltip="Về mục lục" display="Bảng số 1: Định mức chi phí quản lý dự án"/>
  </hyperlinks>
  <printOptions horizontalCentered="1"/>
  <pageMargins left="0.70866141732283472" right="0.31496062992125984" top="0.74803149606299213" bottom="0.74803149606299213" header="0.31496062992125984" footer="0.31496062992125984"/>
  <pageSetup paperSize="9" orientation="portrait" horizontalDpi="300" verticalDpi="300" r:id="rId1"/>
  <headerFooter>
    <oddHeader>&amp;L&amp;"+,nghiêng"&amp;10Dự toán GXD - www.giaxaydung.vn</oddHeader>
    <oddFooter>&amp;C&amp;P</oddFooter>
  </headerFooter>
  <ignoredErrors>
    <ignoredError sqref="N35:N36 D2:D3" unlockedFormula="1"/>
  </ignoredErrors>
  <legacyDrawing r:id="rId2"/>
</worksheet>
</file>

<file path=xl/worksheets/sheet29.xml><?xml version="1.0" encoding="utf-8"?>
<worksheet xmlns="http://schemas.openxmlformats.org/spreadsheetml/2006/main" xmlns:r="http://schemas.openxmlformats.org/officeDocument/2006/relationships">
  <sheetPr codeName="Sheet8"/>
  <dimension ref="A1:P58"/>
  <sheetViews>
    <sheetView showZeros="0" zoomScale="70" zoomScaleNormal="70" workbookViewId="0">
      <selection activeCell="E43" sqref="E43"/>
    </sheetView>
  </sheetViews>
  <sheetFormatPr defaultColWidth="9" defaultRowHeight="15.75"/>
  <cols>
    <col min="1" max="1" width="4.140625" style="10" customWidth="1"/>
    <col min="2" max="2" width="10.28515625" style="10" customWidth="1"/>
    <col min="3" max="3" width="12.42578125" style="10" customWidth="1"/>
    <col min="4" max="4" width="18.7109375" style="10" customWidth="1"/>
    <col min="5" max="6" width="14.7109375" style="10" customWidth="1"/>
    <col min="7" max="7" width="8.140625" style="10" customWidth="1"/>
    <col min="8" max="8" width="7.7109375" style="10" customWidth="1"/>
    <col min="9" max="9" width="4.42578125" style="10" customWidth="1"/>
    <col min="10" max="10" width="4.7109375" style="10" customWidth="1"/>
    <col min="11" max="11" width="5.42578125" style="10" customWidth="1"/>
    <col min="12" max="12" width="4.7109375" style="10" customWidth="1"/>
    <col min="13" max="13" width="4" style="10" customWidth="1"/>
    <col min="14" max="14" width="7.85546875" style="10" customWidth="1"/>
    <col min="15" max="15" width="10.140625" style="10" customWidth="1"/>
    <col min="16" max="16384" width="9" style="10"/>
  </cols>
  <sheetData>
    <row r="1" spans="1:16" ht="16.5" thickTop="1">
      <c r="A1" s="932"/>
      <c r="B1" s="933"/>
      <c r="C1" s="933"/>
      <c r="D1" s="933"/>
      <c r="E1" s="933"/>
      <c r="F1" s="933"/>
      <c r="G1" s="933"/>
      <c r="H1" s="933"/>
      <c r="I1" s="933"/>
      <c r="J1" s="933"/>
      <c r="K1" s="933"/>
      <c r="L1" s="933"/>
      <c r="M1" s="933"/>
      <c r="N1" s="933"/>
      <c r="O1" s="934"/>
    </row>
    <row r="2" spans="1:16" ht="18.75">
      <c r="A2" s="11" t="s">
        <v>692</v>
      </c>
      <c r="B2" s="20"/>
      <c r="C2" s="20"/>
      <c r="D2" s="22"/>
      <c r="E2" s="46"/>
      <c r="F2" s="22" t="s">
        <v>693</v>
      </c>
      <c r="G2" s="935"/>
      <c r="H2" s="935"/>
      <c r="I2" s="935"/>
      <c r="J2" s="935"/>
      <c r="K2" s="935"/>
      <c r="L2" s="935"/>
      <c r="M2" s="935"/>
      <c r="N2" s="936"/>
      <c r="O2" s="937"/>
      <c r="P2" s="21"/>
    </row>
    <row r="3" spans="1:16" ht="18.75">
      <c r="A3" s="13" t="s">
        <v>694</v>
      </c>
      <c r="B3" s="22"/>
      <c r="C3" s="22"/>
      <c r="D3" s="22"/>
      <c r="E3" s="46"/>
      <c r="F3" s="22" t="s">
        <v>695</v>
      </c>
      <c r="G3" s="935"/>
      <c r="H3" s="935"/>
      <c r="I3" s="935"/>
      <c r="J3" s="935"/>
      <c r="K3" s="935"/>
      <c r="L3" s="935"/>
      <c r="M3" s="935"/>
      <c r="N3" s="936"/>
      <c r="O3" s="937"/>
    </row>
    <row r="4" spans="1:16" ht="18.75">
      <c r="A4" s="938"/>
      <c r="B4" s="939"/>
      <c r="C4" s="939"/>
      <c r="D4" s="939"/>
      <c r="E4" s="940"/>
      <c r="F4" s="940"/>
      <c r="G4" s="940"/>
      <c r="H4" s="940"/>
      <c r="I4" s="940"/>
      <c r="J4" s="940"/>
      <c r="K4" s="940"/>
      <c r="L4" s="940"/>
      <c r="M4" s="940"/>
      <c r="N4" s="940"/>
      <c r="O4" s="937"/>
    </row>
    <row r="5" spans="1:16" ht="18.75">
      <c r="A5" s="23" t="s">
        <v>701</v>
      </c>
      <c r="B5" s="23"/>
      <c r="C5" s="23"/>
      <c r="D5" s="939"/>
      <c r="E5" s="940"/>
      <c r="F5" s="940"/>
      <c r="G5" s="940"/>
      <c r="H5" s="940"/>
      <c r="I5" s="940"/>
      <c r="J5" s="940"/>
      <c r="K5" s="940"/>
      <c r="L5" s="940"/>
      <c r="M5" s="940"/>
      <c r="N5" s="940"/>
      <c r="O5" s="937"/>
    </row>
    <row r="6" spans="1:16">
      <c r="A6" s="941"/>
      <c r="B6" s="940"/>
      <c r="C6" s="940"/>
      <c r="D6" s="940"/>
      <c r="E6" s="940"/>
      <c r="F6" s="940"/>
      <c r="G6" s="940"/>
      <c r="H6" s="940"/>
      <c r="I6" s="46"/>
      <c r="J6" s="46"/>
      <c r="K6" s="46"/>
      <c r="L6" s="46"/>
      <c r="M6" s="46"/>
      <c r="N6" s="46"/>
      <c r="O6" s="937"/>
    </row>
    <row r="7" spans="1:16">
      <c r="A7" s="941"/>
      <c r="B7" s="940"/>
      <c r="C7" s="940"/>
      <c r="D7" s="940"/>
      <c r="E7" s="940"/>
      <c r="F7" s="940"/>
      <c r="G7" s="940"/>
      <c r="H7" s="940"/>
      <c r="I7" s="940"/>
      <c r="J7" s="46"/>
      <c r="K7" s="46"/>
      <c r="L7" s="46"/>
      <c r="M7" s="46"/>
      <c r="N7" s="46"/>
      <c r="O7" s="937"/>
    </row>
    <row r="8" spans="1:16">
      <c r="A8" s="941"/>
      <c r="B8" s="940"/>
      <c r="C8" s="940"/>
      <c r="D8" s="940"/>
      <c r="E8" s="940"/>
      <c r="F8" s="940"/>
      <c r="G8" s="940"/>
      <c r="H8" s="940"/>
      <c r="I8" s="940"/>
      <c r="J8" s="940"/>
      <c r="K8" s="940"/>
      <c r="L8" s="940"/>
      <c r="M8" s="940"/>
      <c r="N8" s="940"/>
      <c r="O8" s="937"/>
    </row>
    <row r="9" spans="1:16" ht="33.75" customHeight="1">
      <c r="A9" s="942" t="s">
        <v>958</v>
      </c>
      <c r="B9" s="943"/>
      <c r="C9" s="943"/>
      <c r="D9" s="943"/>
      <c r="E9" s="943"/>
      <c r="F9" s="943"/>
      <c r="G9" s="943"/>
      <c r="H9" s="943"/>
      <c r="I9" s="943"/>
      <c r="J9" s="943"/>
      <c r="K9" s="943"/>
      <c r="L9" s="943"/>
      <c r="M9" s="943"/>
      <c r="N9" s="943"/>
      <c r="O9" s="944"/>
    </row>
    <row r="10" spans="1:16">
      <c r="A10" s="941"/>
      <c r="B10" s="940"/>
      <c r="C10" s="940"/>
      <c r="D10" s="940"/>
      <c r="E10" s="940"/>
      <c r="F10" s="940"/>
      <c r="G10" s="940"/>
      <c r="H10" s="940"/>
      <c r="I10" s="940"/>
      <c r="J10" s="940"/>
      <c r="K10" s="940"/>
      <c r="L10" s="940"/>
      <c r="M10" s="940"/>
      <c r="N10" s="940"/>
      <c r="O10" s="937"/>
    </row>
    <row r="11" spans="1:16" s="21" customFormat="1" ht="24" customHeight="1">
      <c r="A11" s="945"/>
      <c r="B11" s="946"/>
      <c r="C11" s="946"/>
      <c r="D11" s="946" t="s">
        <v>959</v>
      </c>
      <c r="E11" s="947">
        <f>'Bia1'!E11</f>
        <v>0</v>
      </c>
      <c r="F11" s="947"/>
      <c r="G11" s="946"/>
      <c r="H11" s="946"/>
      <c r="I11" s="946"/>
      <c r="J11" s="946"/>
      <c r="K11" s="946"/>
      <c r="L11" s="946"/>
      <c r="M11" s="946"/>
      <c r="N11" s="946"/>
      <c r="O11" s="948"/>
    </row>
    <row r="12" spans="1:16" s="21" customFormat="1" ht="24" customHeight="1">
      <c r="A12" s="945"/>
      <c r="B12" s="946"/>
      <c r="C12" s="946"/>
      <c r="D12" s="946" t="s">
        <v>698</v>
      </c>
      <c r="E12" s="947" t="str">
        <f>Ts!B4</f>
        <v>NHÀ BIỆT THỰ GXD</v>
      </c>
      <c r="F12" s="947"/>
      <c r="G12" s="946"/>
      <c r="H12" s="946"/>
      <c r="I12" s="946"/>
      <c r="J12" s="946"/>
      <c r="K12" s="946"/>
      <c r="L12" s="946"/>
      <c r="M12" s="946"/>
      <c r="N12" s="946"/>
      <c r="O12" s="948"/>
    </row>
    <row r="13" spans="1:16" ht="24" customHeight="1">
      <c r="A13" s="938"/>
      <c r="B13" s="939"/>
      <c r="C13" s="939"/>
      <c r="D13" s="946" t="s">
        <v>699</v>
      </c>
      <c r="E13" s="947" t="str">
        <f>Ts!B10</f>
        <v>SỐ 2A, NGÕ 55, NGUYỄN NGỌC NẠI, THANH XUÂN, HÀ NỘI</v>
      </c>
      <c r="F13" s="949"/>
      <c r="G13" s="939"/>
      <c r="H13" s="939"/>
      <c r="I13" s="939"/>
      <c r="J13" s="939"/>
      <c r="K13" s="939"/>
      <c r="L13" s="939"/>
      <c r="M13" s="939"/>
      <c r="N13" s="939"/>
      <c r="O13" s="950"/>
    </row>
    <row r="14" spans="1:16" s="21" customFormat="1" ht="24" customHeight="1">
      <c r="A14" s="945"/>
      <c r="B14" s="946"/>
      <c r="C14" s="946"/>
      <c r="D14" s="946" t="s">
        <v>700</v>
      </c>
      <c r="E14" s="947" t="str">
        <f>Ts!B8</f>
        <v>CÔNG TY GIÁ XÂY DỰNG</v>
      </c>
      <c r="F14" s="947"/>
      <c r="G14" s="946"/>
      <c r="H14" s="946"/>
      <c r="I14" s="946"/>
      <c r="J14" s="946"/>
      <c r="K14" s="946"/>
      <c r="L14" s="946"/>
      <c r="M14" s="946"/>
      <c r="N14" s="946"/>
      <c r="O14" s="948"/>
    </row>
    <row r="15" spans="1:16" s="21" customFormat="1" ht="18.75">
      <c r="A15" s="945"/>
      <c r="B15" s="946"/>
      <c r="C15" s="946"/>
      <c r="D15" s="946"/>
      <c r="E15" s="947"/>
      <c r="F15" s="947"/>
      <c r="G15" s="946"/>
      <c r="H15" s="946"/>
      <c r="I15" s="946"/>
      <c r="J15" s="946"/>
      <c r="K15" s="946"/>
      <c r="L15" s="946"/>
      <c r="M15" s="946"/>
      <c r="N15" s="946"/>
      <c r="O15" s="948"/>
    </row>
    <row r="16" spans="1:16" s="21" customFormat="1" ht="24" customHeight="1">
      <c r="A16" s="945"/>
      <c r="B16" s="946"/>
      <c r="C16" s="946"/>
      <c r="D16" s="951" t="s">
        <v>702</v>
      </c>
      <c r="E16" s="1291">
        <f>'TH CP thiet bi'!F13</f>
        <v>0</v>
      </c>
      <c r="F16" s="1291"/>
      <c r="G16" s="1291"/>
      <c r="H16" s="1291"/>
      <c r="I16" s="952" t="s">
        <v>703</v>
      </c>
      <c r="J16" s="946"/>
      <c r="K16" s="946"/>
      <c r="L16" s="946"/>
      <c r="M16" s="946"/>
      <c r="N16" s="946"/>
      <c r="O16" s="948"/>
    </row>
    <row r="17" spans="1:15" ht="20.25" customHeight="1">
      <c r="A17" s="941"/>
      <c r="B17" s="940"/>
      <c r="C17" s="940"/>
      <c r="D17" s="953" t="str">
        <f>"(Bằng chữ: "&amp;vnd(E16)&amp;")"</f>
        <v>(Bằng chữ:  đồng.)</v>
      </c>
      <c r="E17" s="940"/>
      <c r="F17" s="940"/>
      <c r="G17" s="940"/>
      <c r="H17" s="940"/>
      <c r="I17" s="940"/>
      <c r="J17" s="940"/>
      <c r="K17" s="940"/>
      <c r="L17" s="940"/>
      <c r="M17" s="940"/>
      <c r="N17" s="940"/>
      <c r="O17" s="954"/>
    </row>
    <row r="18" spans="1:15">
      <c r="A18" s="941"/>
      <c r="B18" s="940"/>
      <c r="C18" s="940"/>
      <c r="D18" s="940"/>
      <c r="E18" s="940"/>
      <c r="F18" s="940"/>
      <c r="G18" s="940"/>
      <c r="H18" s="940"/>
      <c r="I18" s="940"/>
      <c r="J18" s="940"/>
      <c r="K18" s="940"/>
      <c r="L18" s="940"/>
      <c r="M18" s="940"/>
      <c r="N18" s="940"/>
      <c r="O18" s="954"/>
    </row>
    <row r="19" spans="1:15" ht="12" customHeight="1">
      <c r="A19" s="941"/>
      <c r="B19" s="940"/>
      <c r="C19" s="940"/>
      <c r="D19" s="940"/>
      <c r="E19" s="940"/>
      <c r="F19" s="940"/>
      <c r="G19" s="940"/>
      <c r="H19" s="940"/>
      <c r="I19" s="940"/>
      <c r="J19" s="940"/>
      <c r="K19" s="940"/>
      <c r="L19" s="940"/>
      <c r="M19" s="940"/>
      <c r="N19" s="940"/>
      <c r="O19" s="954"/>
    </row>
    <row r="20" spans="1:15">
      <c r="A20" s="941"/>
      <c r="B20" s="940"/>
      <c r="C20" s="940"/>
      <c r="D20" s="940"/>
      <c r="E20" s="940"/>
      <c r="F20" s="940"/>
      <c r="G20" s="940"/>
      <c r="H20" s="955" t="s">
        <v>704</v>
      </c>
      <c r="I20" s="956" t="s">
        <v>705</v>
      </c>
      <c r="J20" s="957">
        <f ca="1">NOW()</f>
        <v>41632.988446180556</v>
      </c>
      <c r="K20" s="958" t="s">
        <v>706</v>
      </c>
      <c r="L20" s="959">
        <f ca="1">NOW()</f>
        <v>41632.988446180556</v>
      </c>
      <c r="M20" s="958" t="s">
        <v>707</v>
      </c>
      <c r="N20" s="960">
        <f ca="1">NOW()</f>
        <v>41632.988446180556</v>
      </c>
      <c r="O20" s="954"/>
    </row>
    <row r="21" spans="1:15" ht="21.75" customHeight="1">
      <c r="A21" s="941"/>
      <c r="B21" s="940"/>
      <c r="C21" s="19"/>
      <c r="D21" s="936"/>
      <c r="E21" s="940"/>
      <c r="F21" s="940"/>
      <c r="G21" s="19"/>
      <c r="H21" s="940"/>
      <c r="I21" s="25" t="s">
        <v>708</v>
      </c>
      <c r="J21" s="936"/>
      <c r="K21" s="936"/>
      <c r="L21" s="936"/>
      <c r="M21" s="46"/>
      <c r="N21" s="46"/>
      <c r="O21" s="954"/>
    </row>
    <row r="22" spans="1:15" ht="18" customHeight="1">
      <c r="A22" s="941"/>
      <c r="B22" s="940"/>
      <c r="C22" s="19"/>
      <c r="D22" s="936"/>
      <c r="E22" s="940"/>
      <c r="F22" s="940"/>
      <c r="G22" s="19"/>
      <c r="H22" s="940"/>
      <c r="I22" s="936"/>
      <c r="J22" s="936"/>
      <c r="K22" s="936"/>
      <c r="L22" s="936"/>
      <c r="M22" s="46"/>
      <c r="N22" s="46"/>
      <c r="O22" s="954"/>
    </row>
    <row r="23" spans="1:15" ht="18" customHeight="1">
      <c r="A23" s="941"/>
      <c r="B23" s="940"/>
      <c r="C23" s="19"/>
      <c r="D23" s="936"/>
      <c r="E23" s="940"/>
      <c r="F23" s="940"/>
      <c r="G23" s="19"/>
      <c r="H23" s="940"/>
      <c r="I23" s="936"/>
      <c r="J23" s="936"/>
      <c r="K23" s="936"/>
      <c r="L23" s="936"/>
      <c r="M23" s="46"/>
      <c r="N23" s="46"/>
      <c r="O23" s="954"/>
    </row>
    <row r="24" spans="1:15" ht="18" customHeight="1">
      <c r="A24" s="941"/>
      <c r="B24" s="940"/>
      <c r="C24" s="936"/>
      <c r="D24" s="936"/>
      <c r="E24" s="940"/>
      <c r="F24" s="940"/>
      <c r="G24" s="936"/>
      <c r="H24" s="940"/>
      <c r="I24" s="936"/>
      <c r="J24" s="936"/>
      <c r="K24" s="936"/>
      <c r="L24" s="936"/>
      <c r="M24" s="46"/>
      <c r="N24" s="46"/>
      <c r="O24" s="954"/>
    </row>
    <row r="25" spans="1:15" ht="18" customHeight="1">
      <c r="A25" s="941"/>
      <c r="B25" s="940"/>
      <c r="C25" s="936"/>
      <c r="D25" s="936"/>
      <c r="E25" s="940"/>
      <c r="F25" s="940"/>
      <c r="G25" s="936"/>
      <c r="H25" s="940"/>
      <c r="I25" s="936"/>
      <c r="J25" s="936"/>
      <c r="K25" s="936"/>
      <c r="L25" s="936"/>
      <c r="M25" s="46"/>
      <c r="N25" s="46"/>
      <c r="O25" s="954"/>
    </row>
    <row r="26" spans="1:15" ht="18" customHeight="1">
      <c r="A26" s="941"/>
      <c r="B26" s="940"/>
      <c r="C26" s="936"/>
      <c r="D26" s="936"/>
      <c r="E26" s="940"/>
      <c r="F26" s="940"/>
      <c r="G26" s="936"/>
      <c r="H26" s="940"/>
      <c r="I26" s="936"/>
      <c r="J26" s="936"/>
      <c r="K26" s="936"/>
      <c r="L26" s="936"/>
      <c r="M26" s="46"/>
      <c r="N26" s="46"/>
      <c r="O26" s="954"/>
    </row>
    <row r="27" spans="1:15">
      <c r="A27" s="941"/>
      <c r="B27" s="940"/>
      <c r="C27" s="936"/>
      <c r="D27" s="936"/>
      <c r="E27" s="940"/>
      <c r="F27" s="940"/>
      <c r="G27" s="936"/>
      <c r="H27" s="940"/>
      <c r="I27" s="961" t="s">
        <v>709</v>
      </c>
      <c r="J27" s="936"/>
      <c r="K27" s="936"/>
      <c r="L27" s="936"/>
      <c r="M27" s="46"/>
      <c r="N27" s="46"/>
      <c r="O27" s="954"/>
    </row>
    <row r="28" spans="1:15" ht="16.5" thickBot="1">
      <c r="A28" s="962"/>
      <c r="B28" s="963"/>
      <c r="C28" s="963"/>
      <c r="D28" s="963"/>
      <c r="E28" s="963"/>
      <c r="F28" s="963"/>
      <c r="G28" s="963"/>
      <c r="H28" s="963"/>
      <c r="I28" s="963"/>
      <c r="J28" s="963"/>
      <c r="K28" s="963"/>
      <c r="L28" s="963"/>
      <c r="M28" s="963"/>
      <c r="N28" s="963"/>
      <c r="O28" s="964"/>
    </row>
    <row r="29" spans="1:15" ht="16.5" thickTop="1">
      <c r="A29" s="932"/>
      <c r="B29" s="933"/>
      <c r="C29" s="933"/>
      <c r="D29" s="933"/>
      <c r="E29" s="933"/>
      <c r="F29" s="933"/>
      <c r="G29" s="933"/>
      <c r="H29" s="933"/>
      <c r="I29" s="933"/>
      <c r="J29" s="933"/>
      <c r="K29" s="933"/>
      <c r="L29" s="933"/>
      <c r="M29" s="933"/>
      <c r="N29" s="933"/>
      <c r="O29" s="934"/>
    </row>
    <row r="30" spans="1:15" ht="18.75">
      <c r="A30" s="11" t="s">
        <v>692</v>
      </c>
      <c r="B30" s="12"/>
      <c r="C30" s="12"/>
      <c r="D30" s="22"/>
      <c r="E30" s="46"/>
      <c r="F30" s="965" t="s">
        <v>693</v>
      </c>
      <c r="G30" s="935"/>
      <c r="H30" s="935"/>
      <c r="I30" s="935"/>
      <c r="J30" s="935"/>
      <c r="K30" s="935"/>
      <c r="L30" s="935"/>
      <c r="M30" s="935"/>
      <c r="N30" s="936"/>
      <c r="O30" s="937"/>
    </row>
    <row r="31" spans="1:15" ht="18.75">
      <c r="A31" s="13" t="s">
        <v>694</v>
      </c>
      <c r="B31" s="14"/>
      <c r="C31" s="14"/>
      <c r="D31" s="22"/>
      <c r="E31" s="46"/>
      <c r="F31" s="22" t="s">
        <v>695</v>
      </c>
      <c r="G31" s="935"/>
      <c r="H31" s="935"/>
      <c r="I31" s="935"/>
      <c r="J31" s="935"/>
      <c r="K31" s="935"/>
      <c r="L31" s="935"/>
      <c r="M31" s="935"/>
      <c r="N31" s="936"/>
      <c r="O31" s="937"/>
    </row>
    <row r="32" spans="1:15" ht="18.75">
      <c r="A32" s="938"/>
      <c r="B32" s="939"/>
      <c r="C32" s="939"/>
      <c r="D32" s="939"/>
      <c r="E32" s="940"/>
      <c r="F32" s="940"/>
      <c r="G32" s="940"/>
      <c r="H32" s="940"/>
      <c r="I32" s="940"/>
      <c r="J32" s="940"/>
      <c r="K32" s="940"/>
      <c r="L32" s="940"/>
      <c r="M32" s="940"/>
      <c r="N32" s="940"/>
      <c r="O32" s="937"/>
    </row>
    <row r="33" spans="1:15" ht="18.75">
      <c r="A33" s="16"/>
      <c r="B33" s="12"/>
      <c r="C33" s="12"/>
      <c r="D33" s="939"/>
      <c r="E33" s="940"/>
      <c r="F33" s="940"/>
      <c r="G33" s="940"/>
      <c r="H33" s="940"/>
      <c r="I33" s="940"/>
      <c r="J33" s="940"/>
      <c r="K33" s="940"/>
      <c r="L33" s="940"/>
      <c r="M33" s="940"/>
      <c r="N33" s="940"/>
      <c r="O33" s="937"/>
    </row>
    <row r="34" spans="1:15">
      <c r="A34" s="941"/>
      <c r="B34" s="940"/>
      <c r="C34" s="940"/>
      <c r="D34" s="940"/>
      <c r="E34" s="940"/>
      <c r="F34" s="940"/>
      <c r="G34" s="940"/>
      <c r="H34" s="940"/>
      <c r="I34" s="46"/>
      <c r="J34" s="46"/>
      <c r="K34" s="46"/>
      <c r="L34" s="46"/>
      <c r="M34" s="46"/>
      <c r="N34" s="46"/>
      <c r="O34" s="937"/>
    </row>
    <row r="35" spans="1:15">
      <c r="A35" s="941"/>
      <c r="B35" s="940"/>
      <c r="C35" s="940"/>
      <c r="D35" s="940"/>
      <c r="E35" s="940"/>
      <c r="F35" s="940"/>
      <c r="G35" s="940"/>
      <c r="H35" s="940"/>
      <c r="I35" s="940"/>
      <c r="J35" s="46"/>
      <c r="K35" s="46"/>
      <c r="L35" s="46"/>
      <c r="M35" s="46"/>
      <c r="N35" s="46"/>
      <c r="O35" s="937"/>
    </row>
    <row r="36" spans="1:15">
      <c r="A36" s="941"/>
      <c r="B36" s="940"/>
      <c r="C36" s="940"/>
      <c r="D36" s="940"/>
      <c r="E36" s="940"/>
      <c r="F36" s="940"/>
      <c r="G36" s="940"/>
      <c r="H36" s="940"/>
      <c r="I36" s="940"/>
      <c r="J36" s="940"/>
      <c r="K36" s="940"/>
      <c r="L36" s="940"/>
      <c r="M36" s="940"/>
      <c r="N36" s="940"/>
      <c r="O36" s="937"/>
    </row>
    <row r="37" spans="1:15">
      <c r="A37" s="941"/>
      <c r="B37" s="940"/>
      <c r="C37" s="940"/>
      <c r="D37" s="940"/>
      <c r="E37" s="940"/>
      <c r="F37" s="940"/>
      <c r="G37" s="940"/>
      <c r="H37" s="940"/>
      <c r="I37" s="940"/>
      <c r="J37" s="940"/>
      <c r="K37" s="940"/>
      <c r="L37" s="940"/>
      <c r="M37" s="940"/>
      <c r="N37" s="940"/>
      <c r="O37" s="937"/>
    </row>
    <row r="38" spans="1:15">
      <c r="A38" s="941"/>
      <c r="B38" s="940"/>
      <c r="C38" s="940"/>
      <c r="D38" s="940"/>
      <c r="E38" s="940"/>
      <c r="F38" s="940"/>
      <c r="G38" s="940"/>
      <c r="H38" s="940"/>
      <c r="I38" s="940"/>
      <c r="J38" s="940"/>
      <c r="K38" s="940"/>
      <c r="L38" s="940"/>
      <c r="M38" s="940"/>
      <c r="N38" s="940"/>
      <c r="O38" s="937"/>
    </row>
    <row r="39" spans="1:15" ht="33.75" customHeight="1">
      <c r="A39" s="942" t="s">
        <v>958</v>
      </c>
      <c r="B39" s="943"/>
      <c r="C39" s="943"/>
      <c r="D39" s="943"/>
      <c r="E39" s="943"/>
      <c r="F39" s="943"/>
      <c r="G39" s="943"/>
      <c r="H39" s="943"/>
      <c r="I39" s="943"/>
      <c r="J39" s="943"/>
      <c r="K39" s="943"/>
      <c r="L39" s="943"/>
      <c r="M39" s="943"/>
      <c r="N39" s="943"/>
      <c r="O39" s="944"/>
    </row>
    <row r="40" spans="1:15" ht="32.1" customHeight="1">
      <c r="A40" s="23" t="s">
        <v>697</v>
      </c>
      <c r="B40" s="943"/>
      <c r="C40" s="943"/>
      <c r="D40" s="12"/>
      <c r="E40" s="943"/>
      <c r="F40" s="943"/>
      <c r="G40" s="943"/>
      <c r="H40" s="943"/>
      <c r="I40" s="943"/>
      <c r="J40" s="943"/>
      <c r="K40" s="943"/>
      <c r="L40" s="943"/>
      <c r="M40" s="943"/>
      <c r="N40" s="943"/>
      <c r="O40" s="944"/>
    </row>
    <row r="41" spans="1:15" ht="18" customHeight="1">
      <c r="A41" s="23"/>
      <c r="B41" s="943"/>
      <c r="C41" s="943"/>
      <c r="D41" s="12"/>
      <c r="E41" s="943"/>
      <c r="F41" s="943"/>
      <c r="G41" s="943"/>
      <c r="H41" s="943"/>
      <c r="I41" s="943"/>
      <c r="J41" s="943"/>
      <c r="K41" s="943"/>
      <c r="L41" s="943"/>
      <c r="M41" s="943"/>
      <c r="N41" s="943"/>
      <c r="O41" s="944"/>
    </row>
    <row r="42" spans="1:15" s="17" customFormat="1" ht="24" customHeight="1">
      <c r="A42" s="945"/>
      <c r="B42" s="946"/>
      <c r="C42" s="946"/>
      <c r="D42" s="946" t="s">
        <v>783</v>
      </c>
      <c r="E42" s="947" t="str">
        <f>IF(Ts!B4="","",Ts!B4)</f>
        <v>NHÀ BIỆT THỰ GXD</v>
      </c>
      <c r="F42" s="947"/>
      <c r="G42" s="946"/>
      <c r="H42" s="946"/>
      <c r="I42" s="946"/>
      <c r="J42" s="946"/>
      <c r="K42" s="946"/>
      <c r="L42" s="946"/>
      <c r="M42" s="946"/>
      <c r="N42" s="946"/>
      <c r="O42" s="948"/>
    </row>
    <row r="43" spans="1:15" s="17" customFormat="1" ht="24" customHeight="1">
      <c r="A43" s="945"/>
      <c r="B43" s="946"/>
      <c r="C43" s="946"/>
      <c r="D43" s="946" t="s">
        <v>784</v>
      </c>
      <c r="E43" s="947" t="str">
        <f>IF(Ts!B6="","",Ts!B6)</f>
        <v>ĐỔI BẢNG MÃ FONT RẤT ĐƠN GIẢN TRONG DỰ TOÁN GXD</v>
      </c>
      <c r="F43" s="947"/>
      <c r="G43" s="946"/>
      <c r="H43" s="946"/>
      <c r="I43" s="946"/>
      <c r="J43" s="946"/>
      <c r="K43" s="946"/>
      <c r="L43" s="946"/>
      <c r="M43" s="946"/>
      <c r="N43" s="946"/>
      <c r="O43" s="948"/>
    </row>
    <row r="44" spans="1:15" s="18" customFormat="1" ht="24" customHeight="1">
      <c r="A44" s="938"/>
      <c r="B44" s="939"/>
      <c r="C44" s="939"/>
      <c r="D44" s="946" t="s">
        <v>699</v>
      </c>
      <c r="E44" s="947" t="str">
        <f>Ts!B10</f>
        <v>SỐ 2A, NGÕ 55, NGUYỄN NGỌC NẠI, THANH XUÂN, HÀ NỘI</v>
      </c>
      <c r="F44" s="949"/>
      <c r="G44" s="939"/>
      <c r="H44" s="939"/>
      <c r="I44" s="939"/>
      <c r="J44" s="939"/>
      <c r="K44" s="939"/>
      <c r="L44" s="939"/>
      <c r="M44" s="939"/>
      <c r="N44" s="939"/>
      <c r="O44" s="950"/>
    </row>
    <row r="45" spans="1:15" s="17" customFormat="1" ht="24" customHeight="1">
      <c r="A45" s="945"/>
      <c r="B45" s="946"/>
      <c r="C45" s="946"/>
      <c r="D45" s="946" t="s">
        <v>700</v>
      </c>
      <c r="E45" s="947" t="str">
        <f>Ts!B8</f>
        <v>CÔNG TY GIÁ XÂY DỰNG</v>
      </c>
      <c r="F45" s="947"/>
      <c r="G45" s="946"/>
      <c r="H45" s="946"/>
      <c r="I45" s="946"/>
      <c r="J45" s="946"/>
      <c r="K45" s="946"/>
      <c r="L45" s="946"/>
      <c r="M45" s="946"/>
      <c r="N45" s="946"/>
      <c r="O45" s="948"/>
    </row>
    <row r="46" spans="1:15">
      <c r="A46" s="941"/>
      <c r="B46" s="940"/>
      <c r="C46" s="940"/>
      <c r="D46" s="940"/>
      <c r="E46" s="940"/>
      <c r="F46" s="940"/>
      <c r="G46" s="940"/>
      <c r="H46" s="940"/>
      <c r="I46" s="940"/>
      <c r="J46" s="940"/>
      <c r="K46" s="940"/>
      <c r="L46" s="940"/>
      <c r="M46" s="940"/>
      <c r="N46" s="940"/>
      <c r="O46" s="954"/>
    </row>
    <row r="47" spans="1:15">
      <c r="A47" s="941"/>
      <c r="B47" s="940"/>
      <c r="C47" s="940"/>
      <c r="D47" s="940"/>
      <c r="E47" s="940"/>
      <c r="F47" s="940"/>
      <c r="G47" s="940"/>
      <c r="H47" s="940"/>
      <c r="I47" s="940"/>
      <c r="J47" s="940"/>
      <c r="K47" s="940"/>
      <c r="L47" s="940"/>
      <c r="M47" s="940"/>
      <c r="N47" s="940"/>
      <c r="O47" s="954"/>
    </row>
    <row r="48" spans="1:15">
      <c r="A48" s="941"/>
      <c r="B48" s="940"/>
      <c r="C48" s="940"/>
      <c r="D48" s="940"/>
      <c r="E48" s="940"/>
      <c r="F48" s="940"/>
      <c r="G48" s="940"/>
      <c r="H48" s="940"/>
      <c r="I48" s="940"/>
      <c r="J48" s="940"/>
      <c r="K48" s="940"/>
      <c r="L48" s="940"/>
      <c r="M48" s="940"/>
      <c r="N48" s="940"/>
      <c r="O48" s="954"/>
    </row>
    <row r="49" spans="1:15">
      <c r="A49" s="941"/>
      <c r="B49" s="966"/>
      <c r="C49" s="940"/>
      <c r="D49" s="940"/>
      <c r="E49" s="966"/>
      <c r="F49" s="940"/>
      <c r="G49" s="46"/>
      <c r="H49" s="966"/>
      <c r="I49" s="46"/>
      <c r="J49" s="966"/>
      <c r="K49" s="940"/>
      <c r="L49" s="940"/>
      <c r="M49" s="940"/>
      <c r="N49" s="940"/>
      <c r="O49" s="954"/>
    </row>
    <row r="50" spans="1:15">
      <c r="A50" s="941"/>
      <c r="B50" s="940"/>
      <c r="C50" s="940"/>
      <c r="D50" s="940"/>
      <c r="E50" s="940"/>
      <c r="F50" s="940"/>
      <c r="G50" s="940"/>
      <c r="H50" s="940"/>
      <c r="I50" s="940"/>
      <c r="J50" s="940"/>
      <c r="K50" s="940"/>
      <c r="L50" s="940"/>
      <c r="M50" s="940"/>
      <c r="N50" s="940"/>
      <c r="O50" s="954"/>
    </row>
    <row r="51" spans="1:15">
      <c r="A51" s="941"/>
      <c r="B51" s="940"/>
      <c r="C51" s="940"/>
      <c r="D51" s="940"/>
      <c r="E51" s="940"/>
      <c r="F51" s="940"/>
      <c r="G51" s="940"/>
      <c r="H51" s="955"/>
      <c r="I51" s="956"/>
      <c r="J51" s="957"/>
      <c r="K51" s="958"/>
      <c r="L51" s="959"/>
      <c r="M51" s="958"/>
      <c r="N51" s="960"/>
      <c r="O51" s="954"/>
    </row>
    <row r="52" spans="1:15">
      <c r="A52" s="941"/>
      <c r="B52" s="940"/>
      <c r="C52" s="940"/>
      <c r="D52" s="940"/>
      <c r="E52" s="940"/>
      <c r="F52" s="940"/>
      <c r="G52" s="940"/>
      <c r="H52" s="940"/>
      <c r="I52" s="940"/>
      <c r="J52" s="940"/>
      <c r="K52" s="940"/>
      <c r="L52" s="940"/>
      <c r="M52" s="940"/>
      <c r="N52" s="940"/>
      <c r="O52" s="954"/>
    </row>
    <row r="53" spans="1:15">
      <c r="A53" s="941"/>
      <c r="B53" s="940"/>
      <c r="C53" s="19"/>
      <c r="D53" s="936"/>
      <c r="E53" s="940"/>
      <c r="F53" s="940"/>
      <c r="G53" s="19"/>
      <c r="H53" s="940"/>
      <c r="I53" s="19"/>
      <c r="J53" s="936"/>
      <c r="K53" s="936"/>
      <c r="L53" s="936"/>
      <c r="M53" s="46"/>
      <c r="N53" s="46"/>
      <c r="O53" s="954"/>
    </row>
    <row r="54" spans="1:15" ht="18" customHeight="1">
      <c r="A54" s="941"/>
      <c r="B54" s="940"/>
      <c r="C54" s="19"/>
      <c r="D54" s="936"/>
      <c r="E54" s="940"/>
      <c r="F54" s="940"/>
      <c r="G54" s="19"/>
      <c r="H54" s="940"/>
      <c r="I54" s="936"/>
      <c r="J54" s="936"/>
      <c r="K54" s="936"/>
      <c r="L54" s="936"/>
      <c r="M54" s="46"/>
      <c r="N54" s="46"/>
      <c r="O54" s="954"/>
    </row>
    <row r="55" spans="1:15" ht="18" customHeight="1">
      <c r="A55" s="941"/>
      <c r="B55" s="940"/>
      <c r="C55" s="19"/>
      <c r="D55" s="936"/>
      <c r="E55" s="940"/>
      <c r="F55" s="940"/>
      <c r="G55" s="19"/>
      <c r="H55" s="940"/>
      <c r="I55" s="936"/>
      <c r="J55" s="936"/>
      <c r="K55" s="936"/>
      <c r="L55" s="936"/>
      <c r="M55" s="46"/>
      <c r="N55" s="46"/>
      <c r="O55" s="954"/>
    </row>
    <row r="56" spans="1:15" ht="16.5" thickBot="1">
      <c r="A56" s="962"/>
      <c r="B56" s="963"/>
      <c r="C56" s="963"/>
      <c r="D56" s="963"/>
      <c r="E56" s="963"/>
      <c r="F56" s="963"/>
      <c r="G56" s="963"/>
      <c r="H56" s="963"/>
      <c r="I56" s="963"/>
      <c r="J56" s="963"/>
      <c r="K56" s="963"/>
      <c r="L56" s="963"/>
      <c r="M56" s="963"/>
      <c r="N56" s="963"/>
      <c r="O56" s="964"/>
    </row>
    <row r="57" spans="1:15" ht="16.5" thickTop="1">
      <c r="A57" s="46"/>
      <c r="B57" s="46"/>
      <c r="C57" s="46"/>
      <c r="D57" s="46"/>
      <c r="E57" s="46"/>
      <c r="F57" s="46"/>
      <c r="G57" s="46"/>
      <c r="H57" s="46"/>
      <c r="I57" s="46"/>
      <c r="J57" s="46"/>
      <c r="K57" s="46"/>
      <c r="L57" s="46"/>
      <c r="M57" s="46"/>
      <c r="N57" s="46"/>
      <c r="O57" s="46"/>
    </row>
    <row r="58" spans="1:15">
      <c r="A58" s="967"/>
      <c r="B58" s="46"/>
      <c r="C58" s="46"/>
      <c r="D58" s="46"/>
      <c r="E58" s="46"/>
      <c r="F58" s="46"/>
      <c r="G58" s="46"/>
      <c r="H58" s="46"/>
      <c r="I58" s="46"/>
      <c r="J58" s="46"/>
      <c r="K58" s="46"/>
      <c r="L58" s="46"/>
      <c r="M58" s="46"/>
      <c r="N58" s="46"/>
      <c r="O58" s="46"/>
    </row>
  </sheetData>
  <mergeCells count="1">
    <mergeCell ref="E16:H16"/>
  </mergeCells>
  <dataValidations count="1">
    <dataValidation allowBlank="1" showInputMessage="1" showErrorMessage="1" prompt="Có thể gõ tên công trình vào đây" sqref="E42:E43"/>
  </dataValidations>
  <hyperlinks>
    <hyperlink ref="F30" location="ML!A1" tooltip="Về mục lục" display="CỘNG HOÀ XÃ HỘI CHỦ NGHĨA VIỆT NAM"/>
  </hyperlinks>
  <printOptions horizontalCentered="1"/>
  <pageMargins left="0.75" right="0.2" top="0.5" bottom="0.5" header="0.25" footer="0.25"/>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sheetPr codeName="Sheet1"/>
  <dimension ref="A1:P58"/>
  <sheetViews>
    <sheetView showZeros="0" zoomScale="70" zoomScaleNormal="70" workbookViewId="0">
      <selection activeCell="E43" sqref="E43"/>
    </sheetView>
  </sheetViews>
  <sheetFormatPr defaultColWidth="9" defaultRowHeight="15.75"/>
  <cols>
    <col min="1" max="1" width="4.140625" style="10" customWidth="1"/>
    <col min="2" max="2" width="10.28515625" style="10" customWidth="1"/>
    <col min="3" max="3" width="12.42578125" style="10" customWidth="1"/>
    <col min="4" max="4" width="18.7109375" style="10" customWidth="1"/>
    <col min="5" max="6" width="14.7109375" style="10" customWidth="1"/>
    <col min="7" max="7" width="8.140625" style="10" customWidth="1"/>
    <col min="8" max="8" width="7.7109375" style="10" customWidth="1"/>
    <col min="9" max="9" width="4.42578125" style="10" customWidth="1"/>
    <col min="10" max="10" width="4.7109375" style="10" customWidth="1"/>
    <col min="11" max="11" width="5.42578125" style="10" customWidth="1"/>
    <col min="12" max="12" width="4.7109375" style="10" customWidth="1"/>
    <col min="13" max="13" width="4" style="10" customWidth="1"/>
    <col min="14" max="14" width="7.85546875" style="10" customWidth="1"/>
    <col min="15" max="15" width="10.140625" style="10" customWidth="1"/>
    <col min="16" max="16384" width="9" style="10"/>
  </cols>
  <sheetData>
    <row r="1" spans="1:16" ht="16.5" thickTop="1">
      <c r="A1" s="932"/>
      <c r="B1" s="933"/>
      <c r="C1" s="933"/>
      <c r="D1" s="933"/>
      <c r="E1" s="933"/>
      <c r="F1" s="933"/>
      <c r="G1" s="933"/>
      <c r="H1" s="933"/>
      <c r="I1" s="933"/>
      <c r="J1" s="933"/>
      <c r="K1" s="933"/>
      <c r="L1" s="933"/>
      <c r="M1" s="933"/>
      <c r="N1" s="933"/>
      <c r="O1" s="934"/>
    </row>
    <row r="2" spans="1:16" ht="18.75">
      <c r="A2" s="11" t="s">
        <v>692</v>
      </c>
      <c r="B2" s="20"/>
      <c r="C2" s="20"/>
      <c r="D2" s="22"/>
      <c r="E2" s="46"/>
      <c r="F2" s="22" t="s">
        <v>693</v>
      </c>
      <c r="G2" s="935"/>
      <c r="H2" s="935"/>
      <c r="I2" s="935"/>
      <c r="J2" s="935"/>
      <c r="K2" s="935"/>
      <c r="L2" s="935"/>
      <c r="M2" s="935"/>
      <c r="N2" s="936"/>
      <c r="O2" s="937"/>
      <c r="P2" s="21"/>
    </row>
    <row r="3" spans="1:16" ht="18.75">
      <c r="A3" s="13" t="s">
        <v>694</v>
      </c>
      <c r="B3" s="22"/>
      <c r="C3" s="22"/>
      <c r="D3" s="22"/>
      <c r="E3" s="46"/>
      <c r="F3" s="22" t="s">
        <v>695</v>
      </c>
      <c r="G3" s="935"/>
      <c r="H3" s="935"/>
      <c r="I3" s="935"/>
      <c r="J3" s="935"/>
      <c r="K3" s="935"/>
      <c r="L3" s="935"/>
      <c r="M3" s="935"/>
      <c r="N3" s="936"/>
      <c r="O3" s="937"/>
    </row>
    <row r="4" spans="1:16" ht="18.75">
      <c r="A4" s="938"/>
      <c r="B4" s="939"/>
      <c r="C4" s="939"/>
      <c r="D4" s="939"/>
      <c r="E4" s="940"/>
      <c r="F4" s="940"/>
      <c r="G4" s="940"/>
      <c r="H4" s="940"/>
      <c r="I4" s="940"/>
      <c r="J4" s="940"/>
      <c r="K4" s="940"/>
      <c r="L4" s="940"/>
      <c r="M4" s="940"/>
      <c r="N4" s="940"/>
      <c r="O4" s="937"/>
    </row>
    <row r="5" spans="1:16" ht="18.75">
      <c r="A5" s="23" t="s">
        <v>701</v>
      </c>
      <c r="B5" s="23"/>
      <c r="C5" s="23"/>
      <c r="D5" s="939"/>
      <c r="E5" s="940"/>
      <c r="F5" s="940"/>
      <c r="G5" s="940"/>
      <c r="H5" s="940"/>
      <c r="I5" s="940"/>
      <c r="J5" s="940"/>
      <c r="K5" s="940"/>
      <c r="L5" s="940"/>
      <c r="M5" s="940"/>
      <c r="N5" s="940"/>
      <c r="O5" s="937"/>
    </row>
    <row r="6" spans="1:16">
      <c r="A6" s="941"/>
      <c r="B6" s="940"/>
      <c r="C6" s="940"/>
      <c r="D6" s="940"/>
      <c r="E6" s="940"/>
      <c r="F6" s="940"/>
      <c r="G6" s="940"/>
      <c r="H6" s="940"/>
      <c r="I6" s="46"/>
      <c r="J6" s="46"/>
      <c r="K6" s="46"/>
      <c r="L6" s="46"/>
      <c r="M6" s="46"/>
      <c r="N6" s="46"/>
      <c r="O6" s="937"/>
    </row>
    <row r="7" spans="1:16">
      <c r="A7" s="941"/>
      <c r="B7" s="940"/>
      <c r="C7" s="940"/>
      <c r="D7" s="940"/>
      <c r="E7" s="940"/>
      <c r="F7" s="940"/>
      <c r="G7" s="940"/>
      <c r="H7" s="940"/>
      <c r="I7" s="940"/>
      <c r="J7" s="46"/>
      <c r="K7" s="46"/>
      <c r="L7" s="46"/>
      <c r="M7" s="46"/>
      <c r="N7" s="46"/>
      <c r="O7" s="937"/>
    </row>
    <row r="8" spans="1:16">
      <c r="A8" s="941"/>
      <c r="B8" s="940"/>
      <c r="C8" s="940"/>
      <c r="D8" s="940"/>
      <c r="E8" s="940"/>
      <c r="F8" s="940"/>
      <c r="G8" s="940"/>
      <c r="H8" s="940"/>
      <c r="I8" s="940"/>
      <c r="J8" s="940"/>
      <c r="K8" s="940"/>
      <c r="L8" s="940"/>
      <c r="M8" s="940"/>
      <c r="N8" s="940"/>
      <c r="O8" s="937"/>
    </row>
    <row r="9" spans="1:16" ht="33.75" customHeight="1">
      <c r="A9" s="942" t="s">
        <v>696</v>
      </c>
      <c r="B9" s="943"/>
      <c r="C9" s="943"/>
      <c r="D9" s="943"/>
      <c r="E9" s="943"/>
      <c r="F9" s="943"/>
      <c r="G9" s="943"/>
      <c r="H9" s="943"/>
      <c r="I9" s="943"/>
      <c r="J9" s="943"/>
      <c r="K9" s="943"/>
      <c r="L9" s="943"/>
      <c r="M9" s="943"/>
      <c r="N9" s="943"/>
      <c r="O9" s="944"/>
    </row>
    <row r="10" spans="1:16">
      <c r="A10" s="941"/>
      <c r="B10" s="940"/>
      <c r="C10" s="940"/>
      <c r="D10" s="940"/>
      <c r="E10" s="940"/>
      <c r="F10" s="940"/>
      <c r="G10" s="940"/>
      <c r="H10" s="940"/>
      <c r="I10" s="940"/>
      <c r="J10" s="940"/>
      <c r="K10" s="940"/>
      <c r="L10" s="940"/>
      <c r="M10" s="940"/>
      <c r="N10" s="940"/>
      <c r="O10" s="937"/>
    </row>
    <row r="11" spans="1:16" s="21" customFormat="1" ht="24" customHeight="1">
      <c r="A11" s="945"/>
      <c r="B11" s="946"/>
      <c r="C11" s="946"/>
      <c r="D11" s="946" t="s">
        <v>959</v>
      </c>
      <c r="E11" s="947"/>
      <c r="F11" s="947"/>
      <c r="G11" s="946"/>
      <c r="H11" s="946"/>
      <c r="I11" s="946"/>
      <c r="J11" s="946"/>
      <c r="K11" s="946"/>
      <c r="L11" s="946"/>
      <c r="M11" s="946"/>
      <c r="N11" s="946"/>
      <c r="O11" s="948"/>
    </row>
    <row r="12" spans="1:16" s="21" customFormat="1" ht="24" customHeight="1">
      <c r="A12" s="945"/>
      <c r="B12" s="946"/>
      <c r="C12" s="946"/>
      <c r="D12" s="946" t="s">
        <v>698</v>
      </c>
      <c r="E12" s="947" t="str">
        <f>Ts!B4</f>
        <v>NHÀ BIỆT THỰ GXD</v>
      </c>
      <c r="F12" s="947"/>
      <c r="G12" s="946"/>
      <c r="H12" s="946"/>
      <c r="I12" s="946"/>
      <c r="J12" s="946"/>
      <c r="K12" s="946"/>
      <c r="L12" s="946"/>
      <c r="M12" s="946"/>
      <c r="N12" s="946"/>
      <c r="O12" s="948"/>
    </row>
    <row r="13" spans="1:16" ht="24" customHeight="1">
      <c r="A13" s="938"/>
      <c r="B13" s="939"/>
      <c r="C13" s="939"/>
      <c r="D13" s="946" t="s">
        <v>699</v>
      </c>
      <c r="E13" s="947" t="str">
        <f>E44</f>
        <v>SỐ 2A, NGÕ 55, NGUYỄN NGỌC NẠI, THANH XUÂN, HÀ NỘI</v>
      </c>
      <c r="F13" s="949"/>
      <c r="G13" s="939"/>
      <c r="H13" s="939"/>
      <c r="I13" s="939"/>
      <c r="J13" s="939"/>
      <c r="K13" s="939"/>
      <c r="L13" s="939"/>
      <c r="M13" s="939"/>
      <c r="N13" s="939"/>
      <c r="O13" s="950"/>
    </row>
    <row r="14" spans="1:16" s="21" customFormat="1" ht="24" customHeight="1">
      <c r="A14" s="945"/>
      <c r="B14" s="946"/>
      <c r="C14" s="946"/>
      <c r="D14" s="946" t="s">
        <v>700</v>
      </c>
      <c r="E14" s="947" t="str">
        <f>E45</f>
        <v>CÔNG TY GIÁ XÂY DỰNG</v>
      </c>
      <c r="F14" s="947"/>
      <c r="G14" s="946"/>
      <c r="H14" s="946"/>
      <c r="I14" s="946"/>
      <c r="J14" s="946"/>
      <c r="K14" s="946"/>
      <c r="L14" s="946"/>
      <c r="M14" s="946"/>
      <c r="N14" s="946"/>
      <c r="O14" s="948"/>
    </row>
    <row r="15" spans="1:16" s="21" customFormat="1" ht="18.75">
      <c r="A15" s="945"/>
      <c r="B15" s="946"/>
      <c r="C15" s="946"/>
      <c r="D15" s="946"/>
      <c r="E15" s="947"/>
      <c r="F15" s="947"/>
      <c r="G15" s="946"/>
      <c r="H15" s="946"/>
      <c r="I15" s="946"/>
      <c r="J15" s="946"/>
      <c r="K15" s="946"/>
      <c r="L15" s="946"/>
      <c r="M15" s="946"/>
      <c r="N15" s="946"/>
      <c r="O15" s="948"/>
    </row>
    <row r="16" spans="1:16" s="21" customFormat="1" ht="24" customHeight="1">
      <c r="A16" s="945"/>
      <c r="B16" s="946"/>
      <c r="C16" s="946"/>
      <c r="D16" s="951" t="s">
        <v>702</v>
      </c>
      <c r="E16" s="1291">
        <f ca="1">'Tong hop kinh phi'!G17</f>
        <v>128536000</v>
      </c>
      <c r="F16" s="1291"/>
      <c r="G16" s="1291"/>
      <c r="H16" s="1291"/>
      <c r="I16" s="952" t="s">
        <v>703</v>
      </c>
      <c r="J16" s="946"/>
      <c r="K16" s="946"/>
      <c r="L16" s="946"/>
      <c r="M16" s="946"/>
      <c r="N16" s="946"/>
      <c r="O16" s="948"/>
    </row>
    <row r="17" spans="1:15" ht="20.25" customHeight="1">
      <c r="A17" s="941"/>
      <c r="B17" s="940"/>
      <c r="C17" s="940"/>
      <c r="D17" s="953" t="str">
        <f ca="1">"(Bằng chữ: "&amp;vnd(E16)&amp;")"</f>
        <v>(Bằng chữ: Một trăm hai mươi tám triệu năm trăm ba mươi sáu nghìn đồng.)</v>
      </c>
      <c r="E17" s="940"/>
      <c r="F17" s="940"/>
      <c r="G17" s="940"/>
      <c r="H17" s="940"/>
      <c r="I17" s="940"/>
      <c r="J17" s="940"/>
      <c r="K17" s="940"/>
      <c r="L17" s="940"/>
      <c r="M17" s="940"/>
      <c r="N17" s="940"/>
      <c r="O17" s="954"/>
    </row>
    <row r="18" spans="1:15">
      <c r="A18" s="941"/>
      <c r="B18" s="940"/>
      <c r="C18" s="940"/>
      <c r="D18" s="940"/>
      <c r="E18" s="940"/>
      <c r="F18" s="940"/>
      <c r="G18" s="940"/>
      <c r="H18" s="940"/>
      <c r="I18" s="940"/>
      <c r="J18" s="940"/>
      <c r="K18" s="940"/>
      <c r="L18" s="940"/>
      <c r="M18" s="940"/>
      <c r="N18" s="940"/>
      <c r="O18" s="954"/>
    </row>
    <row r="19" spans="1:15" ht="12" customHeight="1">
      <c r="A19" s="941"/>
      <c r="B19" s="940"/>
      <c r="C19" s="940"/>
      <c r="D19" s="940"/>
      <c r="E19" s="940"/>
      <c r="F19" s="940"/>
      <c r="G19" s="940"/>
      <c r="H19" s="940"/>
      <c r="I19" s="940"/>
      <c r="J19" s="940"/>
      <c r="K19" s="940"/>
      <c r="L19" s="940"/>
      <c r="M19" s="940"/>
      <c r="N19" s="940"/>
      <c r="O19" s="954"/>
    </row>
    <row r="20" spans="1:15">
      <c r="A20" s="941"/>
      <c r="B20" s="940"/>
      <c r="C20" s="940"/>
      <c r="D20" s="940"/>
      <c r="E20" s="940"/>
      <c r="F20" s="940"/>
      <c r="G20" s="940"/>
      <c r="H20" s="955" t="s">
        <v>704</v>
      </c>
      <c r="I20" s="956" t="s">
        <v>705</v>
      </c>
      <c r="J20" s="957">
        <f ca="1">NOW()</f>
        <v>41632.988446180556</v>
      </c>
      <c r="K20" s="958" t="s">
        <v>706</v>
      </c>
      <c r="L20" s="959">
        <f ca="1">NOW()</f>
        <v>41632.988446180556</v>
      </c>
      <c r="M20" s="958" t="s">
        <v>707</v>
      </c>
      <c r="N20" s="960">
        <f ca="1">NOW()</f>
        <v>41632.988446180556</v>
      </c>
      <c r="O20" s="954"/>
    </row>
    <row r="21" spans="1:15" ht="21.75" customHeight="1">
      <c r="A21" s="941"/>
      <c r="B21" s="940"/>
      <c r="C21" s="19"/>
      <c r="D21" s="936"/>
      <c r="E21" s="940"/>
      <c r="F21" s="940"/>
      <c r="G21" s="19"/>
      <c r="H21" s="940"/>
      <c r="I21" s="25" t="s">
        <v>708</v>
      </c>
      <c r="J21" s="936"/>
      <c r="K21" s="936"/>
      <c r="L21" s="936"/>
      <c r="M21" s="46"/>
      <c r="N21" s="46"/>
      <c r="O21" s="954"/>
    </row>
    <row r="22" spans="1:15" ht="18" customHeight="1">
      <c r="A22" s="941"/>
      <c r="B22" s="940"/>
      <c r="C22" s="19"/>
      <c r="D22" s="936"/>
      <c r="E22" s="940"/>
      <c r="F22" s="940"/>
      <c r="G22" s="19"/>
      <c r="H22" s="940"/>
      <c r="I22" s="936"/>
      <c r="J22" s="936"/>
      <c r="K22" s="936"/>
      <c r="L22" s="936"/>
      <c r="M22" s="46"/>
      <c r="N22" s="46"/>
      <c r="O22" s="954"/>
    </row>
    <row r="23" spans="1:15" ht="18" customHeight="1">
      <c r="A23" s="941"/>
      <c r="B23" s="940"/>
      <c r="C23" s="19"/>
      <c r="D23" s="936"/>
      <c r="E23" s="940"/>
      <c r="F23" s="940"/>
      <c r="G23" s="19"/>
      <c r="H23" s="940"/>
      <c r="I23" s="936"/>
      <c r="J23" s="936"/>
      <c r="K23" s="936"/>
      <c r="L23" s="936"/>
      <c r="M23" s="46"/>
      <c r="N23" s="46"/>
      <c r="O23" s="954"/>
    </row>
    <row r="24" spans="1:15" ht="18" customHeight="1">
      <c r="A24" s="941"/>
      <c r="B24" s="940"/>
      <c r="C24" s="936"/>
      <c r="D24" s="936"/>
      <c r="E24" s="940"/>
      <c r="F24" s="940"/>
      <c r="G24" s="936"/>
      <c r="H24" s="940"/>
      <c r="I24" s="936"/>
      <c r="J24" s="936"/>
      <c r="K24" s="936"/>
      <c r="L24" s="936"/>
      <c r="M24" s="46"/>
      <c r="N24" s="46"/>
      <c r="O24" s="954"/>
    </row>
    <row r="25" spans="1:15" ht="18" customHeight="1">
      <c r="A25" s="941"/>
      <c r="B25" s="940"/>
      <c r="C25" s="936"/>
      <c r="D25" s="936"/>
      <c r="E25" s="940"/>
      <c r="F25" s="940"/>
      <c r="G25" s="936"/>
      <c r="H25" s="940"/>
      <c r="I25" s="936"/>
      <c r="J25" s="936"/>
      <c r="K25" s="936"/>
      <c r="L25" s="936"/>
      <c r="M25" s="46"/>
      <c r="N25" s="46"/>
      <c r="O25" s="954"/>
    </row>
    <row r="26" spans="1:15" ht="18" customHeight="1">
      <c r="A26" s="941"/>
      <c r="B26" s="940"/>
      <c r="C26" s="936"/>
      <c r="D26" s="936"/>
      <c r="E26" s="940"/>
      <c r="F26" s="940"/>
      <c r="G26" s="936"/>
      <c r="H26" s="940"/>
      <c r="I26" s="936"/>
      <c r="J26" s="936"/>
      <c r="K26" s="936"/>
      <c r="L26" s="936"/>
      <c r="M26" s="46"/>
      <c r="N26" s="46"/>
      <c r="O26" s="954"/>
    </row>
    <row r="27" spans="1:15">
      <c r="A27" s="941"/>
      <c r="B27" s="940"/>
      <c r="C27" s="936"/>
      <c r="D27" s="936"/>
      <c r="E27" s="940"/>
      <c r="F27" s="940"/>
      <c r="G27" s="936"/>
      <c r="H27" s="940"/>
      <c r="I27" s="961" t="s">
        <v>709</v>
      </c>
      <c r="J27" s="936"/>
      <c r="K27" s="936"/>
      <c r="L27" s="936"/>
      <c r="M27" s="46"/>
      <c r="N27" s="46"/>
      <c r="O27" s="954"/>
    </row>
    <row r="28" spans="1:15" ht="16.5" thickBot="1">
      <c r="A28" s="962"/>
      <c r="B28" s="963"/>
      <c r="C28" s="963"/>
      <c r="D28" s="963"/>
      <c r="E28" s="963"/>
      <c r="F28" s="963"/>
      <c r="G28" s="963"/>
      <c r="H28" s="963"/>
      <c r="I28" s="963"/>
      <c r="J28" s="963"/>
      <c r="K28" s="963"/>
      <c r="L28" s="963"/>
      <c r="M28" s="963"/>
      <c r="N28" s="963"/>
      <c r="O28" s="964"/>
    </row>
    <row r="29" spans="1:15" ht="16.5" thickTop="1">
      <c r="A29" s="932"/>
      <c r="B29" s="933"/>
      <c r="C29" s="933"/>
      <c r="D29" s="933"/>
      <c r="E29" s="933"/>
      <c r="F29" s="933"/>
      <c r="G29" s="933"/>
      <c r="H29" s="933"/>
      <c r="I29" s="933"/>
      <c r="J29" s="933"/>
      <c r="K29" s="933"/>
      <c r="L29" s="933"/>
      <c r="M29" s="933"/>
      <c r="N29" s="933"/>
      <c r="O29" s="934"/>
    </row>
    <row r="30" spans="1:15" ht="18.75">
      <c r="A30" s="11" t="s">
        <v>692</v>
      </c>
      <c r="B30" s="12"/>
      <c r="C30" s="12"/>
      <c r="D30" s="22"/>
      <c r="E30" s="46"/>
      <c r="F30" s="965" t="s">
        <v>693</v>
      </c>
      <c r="G30" s="935"/>
      <c r="H30" s="935"/>
      <c r="I30" s="935"/>
      <c r="J30" s="935"/>
      <c r="K30" s="935"/>
      <c r="L30" s="935"/>
      <c r="M30" s="935"/>
      <c r="N30" s="936"/>
      <c r="O30" s="937"/>
    </row>
    <row r="31" spans="1:15" ht="18.75">
      <c r="A31" s="13" t="s">
        <v>694</v>
      </c>
      <c r="B31" s="14"/>
      <c r="C31" s="14"/>
      <c r="D31" s="22"/>
      <c r="E31" s="46"/>
      <c r="F31" s="22" t="s">
        <v>695</v>
      </c>
      <c r="G31" s="935"/>
      <c r="H31" s="935"/>
      <c r="I31" s="935"/>
      <c r="J31" s="935"/>
      <c r="K31" s="935"/>
      <c r="L31" s="935"/>
      <c r="M31" s="935"/>
      <c r="N31" s="936"/>
      <c r="O31" s="937"/>
    </row>
    <row r="32" spans="1:15" ht="18.75">
      <c r="A32" s="938"/>
      <c r="B32" s="939"/>
      <c r="C32" s="939"/>
      <c r="D32" s="939"/>
      <c r="E32" s="940"/>
      <c r="F32" s="940"/>
      <c r="G32" s="940"/>
      <c r="H32" s="940"/>
      <c r="I32" s="940"/>
      <c r="J32" s="940"/>
      <c r="K32" s="940"/>
      <c r="L32" s="940"/>
      <c r="M32" s="940"/>
      <c r="N32" s="940"/>
      <c r="O32" s="937"/>
    </row>
    <row r="33" spans="1:15" ht="18.75">
      <c r="A33" s="16"/>
      <c r="B33" s="12"/>
      <c r="C33" s="12"/>
      <c r="D33" s="939"/>
      <c r="E33" s="940"/>
      <c r="F33" s="940"/>
      <c r="G33" s="940"/>
      <c r="H33" s="940"/>
      <c r="I33" s="940"/>
      <c r="J33" s="940"/>
      <c r="K33" s="940"/>
      <c r="L33" s="940"/>
      <c r="M33" s="940"/>
      <c r="N33" s="940"/>
      <c r="O33" s="937"/>
    </row>
    <row r="34" spans="1:15">
      <c r="A34" s="941"/>
      <c r="B34" s="940"/>
      <c r="C34" s="940"/>
      <c r="D34" s="940"/>
      <c r="E34" s="940"/>
      <c r="F34" s="940"/>
      <c r="G34" s="940"/>
      <c r="H34" s="940"/>
      <c r="I34" s="46"/>
      <c r="J34" s="46"/>
      <c r="K34" s="46"/>
      <c r="L34" s="46"/>
      <c r="M34" s="46"/>
      <c r="N34" s="46"/>
      <c r="O34" s="937"/>
    </row>
    <row r="35" spans="1:15">
      <c r="A35" s="941"/>
      <c r="B35" s="940"/>
      <c r="C35" s="940"/>
      <c r="D35" s="940"/>
      <c r="E35" s="940"/>
      <c r="F35" s="940"/>
      <c r="G35" s="940"/>
      <c r="H35" s="940"/>
      <c r="I35" s="940"/>
      <c r="J35" s="46"/>
      <c r="K35" s="46"/>
      <c r="L35" s="46"/>
      <c r="M35" s="46"/>
      <c r="N35" s="46"/>
      <c r="O35" s="937"/>
    </row>
    <row r="36" spans="1:15">
      <c r="A36" s="941"/>
      <c r="B36" s="940"/>
      <c r="C36" s="940"/>
      <c r="D36" s="940"/>
      <c r="E36" s="940"/>
      <c r="F36" s="940"/>
      <c r="G36" s="940"/>
      <c r="H36" s="940"/>
      <c r="I36" s="940"/>
      <c r="J36" s="940"/>
      <c r="K36" s="940"/>
      <c r="L36" s="940"/>
      <c r="M36" s="940"/>
      <c r="N36" s="940"/>
      <c r="O36" s="937"/>
    </row>
    <row r="37" spans="1:15">
      <c r="A37" s="941"/>
      <c r="B37" s="940"/>
      <c r="C37" s="940"/>
      <c r="D37" s="940"/>
      <c r="E37" s="940"/>
      <c r="F37" s="940"/>
      <c r="G37" s="940"/>
      <c r="H37" s="940"/>
      <c r="I37" s="940"/>
      <c r="J37" s="940"/>
      <c r="K37" s="940"/>
      <c r="L37" s="940"/>
      <c r="M37" s="940"/>
      <c r="N37" s="940"/>
      <c r="O37" s="937"/>
    </row>
    <row r="38" spans="1:15">
      <c r="A38" s="941"/>
      <c r="B38" s="940"/>
      <c r="C38" s="940"/>
      <c r="D38" s="940"/>
      <c r="E38" s="940"/>
      <c r="F38" s="940"/>
      <c r="G38" s="940"/>
      <c r="H38" s="940"/>
      <c r="I38" s="940"/>
      <c r="J38" s="940"/>
      <c r="K38" s="940"/>
      <c r="L38" s="940"/>
      <c r="M38" s="940"/>
      <c r="N38" s="940"/>
      <c r="O38" s="937"/>
    </row>
    <row r="39" spans="1:15" ht="33.75" customHeight="1">
      <c r="A39" s="942" t="s">
        <v>696</v>
      </c>
      <c r="B39" s="943"/>
      <c r="C39" s="943"/>
      <c r="D39" s="943"/>
      <c r="E39" s="943"/>
      <c r="F39" s="943"/>
      <c r="G39" s="943"/>
      <c r="H39" s="943"/>
      <c r="I39" s="943"/>
      <c r="J39" s="943"/>
      <c r="K39" s="943"/>
      <c r="L39" s="943"/>
      <c r="M39" s="943"/>
      <c r="N39" s="943"/>
      <c r="O39" s="944"/>
    </row>
    <row r="40" spans="1:15" ht="32.1" customHeight="1">
      <c r="A40" s="23" t="s">
        <v>697</v>
      </c>
      <c r="B40" s="943"/>
      <c r="C40" s="943"/>
      <c r="D40" s="12"/>
      <c r="E40" s="943"/>
      <c r="F40" s="943"/>
      <c r="G40" s="943"/>
      <c r="H40" s="943"/>
      <c r="I40" s="943"/>
      <c r="J40" s="943"/>
      <c r="K40" s="943"/>
      <c r="L40" s="943"/>
      <c r="M40" s="943"/>
      <c r="N40" s="943"/>
      <c r="O40" s="944"/>
    </row>
    <row r="41" spans="1:15" ht="18" customHeight="1">
      <c r="A41" s="23"/>
      <c r="B41" s="943"/>
      <c r="C41" s="943"/>
      <c r="D41" s="12"/>
      <c r="E41" s="943"/>
      <c r="F41" s="943"/>
      <c r="G41" s="943"/>
      <c r="H41" s="943"/>
      <c r="I41" s="943"/>
      <c r="J41" s="943"/>
      <c r="K41" s="943"/>
      <c r="L41" s="943"/>
      <c r="M41" s="943"/>
      <c r="N41" s="943"/>
      <c r="O41" s="944"/>
    </row>
    <row r="42" spans="1:15" s="17" customFormat="1" ht="24" customHeight="1">
      <c r="A42" s="945"/>
      <c r="B42" s="946"/>
      <c r="C42" s="946"/>
      <c r="D42" s="946" t="s">
        <v>783</v>
      </c>
      <c r="E42" s="947" t="str">
        <f>IF(Ts!B4="","",Ts!B4)</f>
        <v>NHÀ BIỆT THỰ GXD</v>
      </c>
      <c r="F42" s="947"/>
      <c r="G42" s="946"/>
      <c r="H42" s="946"/>
      <c r="I42" s="946"/>
      <c r="J42" s="946"/>
      <c r="K42" s="946"/>
      <c r="L42" s="946"/>
      <c r="M42" s="946"/>
      <c r="N42" s="946"/>
      <c r="O42" s="948"/>
    </row>
    <row r="43" spans="1:15" s="17" customFormat="1" ht="24" customHeight="1">
      <c r="A43" s="945"/>
      <c r="B43" s="946"/>
      <c r="C43" s="946"/>
      <c r="D43" s="946" t="s">
        <v>784</v>
      </c>
      <c r="E43" s="947" t="str">
        <f>IF(Ts!B6="","",Ts!B6)</f>
        <v>ĐỔI BẢNG MÃ FONT RẤT ĐƠN GIẢN TRONG DỰ TOÁN GXD</v>
      </c>
      <c r="F43" s="947"/>
      <c r="G43" s="946"/>
      <c r="H43" s="946"/>
      <c r="I43" s="946"/>
      <c r="J43" s="946"/>
      <c r="K43" s="946"/>
      <c r="L43" s="946"/>
      <c r="M43" s="946"/>
      <c r="N43" s="946"/>
      <c r="O43" s="948"/>
    </row>
    <row r="44" spans="1:15" s="18" customFormat="1" ht="24" customHeight="1">
      <c r="A44" s="938"/>
      <c r="B44" s="939"/>
      <c r="C44" s="939"/>
      <c r="D44" s="946" t="s">
        <v>699</v>
      </c>
      <c r="E44" s="947" t="str">
        <f>Ts!B10</f>
        <v>SỐ 2A, NGÕ 55, NGUYỄN NGỌC NẠI, THANH XUÂN, HÀ NỘI</v>
      </c>
      <c r="F44" s="949"/>
      <c r="G44" s="939"/>
      <c r="H44" s="939"/>
      <c r="I44" s="939"/>
      <c r="J44" s="939"/>
      <c r="K44" s="939"/>
      <c r="L44" s="939"/>
      <c r="M44" s="939"/>
      <c r="N44" s="939"/>
      <c r="O44" s="950"/>
    </row>
    <row r="45" spans="1:15" s="17" customFormat="1" ht="24" customHeight="1">
      <c r="A45" s="945"/>
      <c r="B45" s="946"/>
      <c r="C45" s="946"/>
      <c r="D45" s="946" t="s">
        <v>700</v>
      </c>
      <c r="E45" s="947" t="str">
        <f>Ts!B8</f>
        <v>CÔNG TY GIÁ XÂY DỰNG</v>
      </c>
      <c r="F45" s="947"/>
      <c r="G45" s="946"/>
      <c r="H45" s="946"/>
      <c r="I45" s="946"/>
      <c r="J45" s="946"/>
      <c r="K45" s="946"/>
      <c r="L45" s="946"/>
      <c r="M45" s="946"/>
      <c r="N45" s="946"/>
      <c r="O45" s="948"/>
    </row>
    <row r="46" spans="1:15">
      <c r="A46" s="941"/>
      <c r="B46" s="940"/>
      <c r="C46" s="940"/>
      <c r="D46" s="940"/>
      <c r="E46" s="940"/>
      <c r="F46" s="940"/>
      <c r="G46" s="940"/>
      <c r="H46" s="940"/>
      <c r="I46" s="940"/>
      <c r="J46" s="940"/>
      <c r="K46" s="940"/>
      <c r="L46" s="940"/>
      <c r="M46" s="940"/>
      <c r="N46" s="940"/>
      <c r="O46" s="954"/>
    </row>
    <row r="47" spans="1:15">
      <c r="A47" s="941"/>
      <c r="B47" s="940"/>
      <c r="C47" s="940"/>
      <c r="D47" s="940"/>
      <c r="E47" s="940"/>
      <c r="F47" s="940"/>
      <c r="G47" s="940"/>
      <c r="H47" s="940"/>
      <c r="I47" s="940"/>
      <c r="J47" s="940"/>
      <c r="K47" s="940"/>
      <c r="L47" s="940"/>
      <c r="M47" s="940"/>
      <c r="N47" s="940"/>
      <c r="O47" s="954"/>
    </row>
    <row r="48" spans="1:15">
      <c r="A48" s="941"/>
      <c r="B48" s="940"/>
      <c r="C48" s="940"/>
      <c r="D48" s="940"/>
      <c r="E48" s="940"/>
      <c r="F48" s="940"/>
      <c r="G48" s="940"/>
      <c r="H48" s="940"/>
      <c r="I48" s="940"/>
      <c r="J48" s="940"/>
      <c r="K48" s="940"/>
      <c r="L48" s="940"/>
      <c r="M48" s="940"/>
      <c r="N48" s="940"/>
      <c r="O48" s="954"/>
    </row>
    <row r="49" spans="1:15">
      <c r="A49" s="941"/>
      <c r="B49" s="966"/>
      <c r="C49" s="940"/>
      <c r="D49" s="940"/>
      <c r="E49" s="966"/>
      <c r="F49" s="940"/>
      <c r="G49" s="46"/>
      <c r="H49" s="966"/>
      <c r="I49" s="46"/>
      <c r="J49" s="966"/>
      <c r="K49" s="940"/>
      <c r="L49" s="940"/>
      <c r="M49" s="940"/>
      <c r="N49" s="940"/>
      <c r="O49" s="954"/>
    </row>
    <row r="50" spans="1:15">
      <c r="A50" s="941"/>
      <c r="B50" s="940"/>
      <c r="C50" s="940"/>
      <c r="D50" s="940"/>
      <c r="E50" s="940"/>
      <c r="F50" s="940"/>
      <c r="G50" s="940"/>
      <c r="H50" s="940"/>
      <c r="I50" s="940"/>
      <c r="J50" s="940"/>
      <c r="K50" s="940"/>
      <c r="L50" s="940"/>
      <c r="M50" s="940"/>
      <c r="N50" s="940"/>
      <c r="O50" s="954"/>
    </row>
    <row r="51" spans="1:15">
      <c r="A51" s="941"/>
      <c r="B51" s="940"/>
      <c r="C51" s="940"/>
      <c r="D51" s="940"/>
      <c r="E51" s="940"/>
      <c r="F51" s="940"/>
      <c r="G51" s="940"/>
      <c r="H51" s="955"/>
      <c r="I51" s="956"/>
      <c r="J51" s="957"/>
      <c r="K51" s="958"/>
      <c r="L51" s="959"/>
      <c r="M51" s="958"/>
      <c r="N51" s="960"/>
      <c r="O51" s="954"/>
    </row>
    <row r="52" spans="1:15">
      <c r="A52" s="941"/>
      <c r="B52" s="940"/>
      <c r="C52" s="940"/>
      <c r="D52" s="940"/>
      <c r="E52" s="940"/>
      <c r="F52" s="940"/>
      <c r="G52" s="940"/>
      <c r="H52" s="940"/>
      <c r="I52" s="940"/>
      <c r="J52" s="940"/>
      <c r="K52" s="940"/>
      <c r="L52" s="940"/>
      <c r="M52" s="940"/>
      <c r="N52" s="940"/>
      <c r="O52" s="954"/>
    </row>
    <row r="53" spans="1:15">
      <c r="A53" s="941"/>
      <c r="B53" s="940"/>
      <c r="C53" s="19"/>
      <c r="D53" s="936"/>
      <c r="E53" s="940"/>
      <c r="F53" s="940"/>
      <c r="G53" s="19"/>
      <c r="H53" s="940"/>
      <c r="I53" s="19"/>
      <c r="J53" s="936"/>
      <c r="K53" s="936"/>
      <c r="L53" s="936"/>
      <c r="M53" s="46"/>
      <c r="N53" s="46"/>
      <c r="O53" s="954"/>
    </row>
    <row r="54" spans="1:15" ht="18" customHeight="1">
      <c r="A54" s="941"/>
      <c r="B54" s="940"/>
      <c r="C54" s="19"/>
      <c r="D54" s="936"/>
      <c r="E54" s="940"/>
      <c r="F54" s="940"/>
      <c r="G54" s="19"/>
      <c r="H54" s="940"/>
      <c r="I54" s="936"/>
      <c r="J54" s="936"/>
      <c r="K54" s="936"/>
      <c r="L54" s="936"/>
      <c r="M54" s="46"/>
      <c r="N54" s="46"/>
      <c r="O54" s="954"/>
    </row>
    <row r="55" spans="1:15" ht="18" customHeight="1">
      <c r="A55" s="941"/>
      <c r="B55" s="940"/>
      <c r="C55" s="19"/>
      <c r="D55" s="936"/>
      <c r="E55" s="940"/>
      <c r="F55" s="940"/>
      <c r="G55" s="19"/>
      <c r="H55" s="940"/>
      <c r="I55" s="936"/>
      <c r="J55" s="936"/>
      <c r="K55" s="936"/>
      <c r="L55" s="936"/>
      <c r="M55" s="46"/>
      <c r="N55" s="46"/>
      <c r="O55" s="954"/>
    </row>
    <row r="56" spans="1:15" ht="16.5" thickBot="1">
      <c r="A56" s="962"/>
      <c r="B56" s="963"/>
      <c r="C56" s="963"/>
      <c r="D56" s="963"/>
      <c r="E56" s="963"/>
      <c r="F56" s="963"/>
      <c r="G56" s="963"/>
      <c r="H56" s="963"/>
      <c r="I56" s="963"/>
      <c r="J56" s="963"/>
      <c r="K56" s="963"/>
      <c r="L56" s="963"/>
      <c r="M56" s="963"/>
      <c r="N56" s="963"/>
      <c r="O56" s="964"/>
    </row>
    <row r="57" spans="1:15" ht="16.5" thickTop="1">
      <c r="A57" s="46"/>
      <c r="B57" s="46"/>
      <c r="C57" s="46"/>
      <c r="D57" s="46"/>
      <c r="E57" s="46"/>
      <c r="F57" s="46"/>
      <c r="G57" s="46"/>
      <c r="H57" s="46"/>
      <c r="I57" s="46"/>
      <c r="J57" s="46"/>
      <c r="K57" s="46"/>
      <c r="L57" s="46"/>
      <c r="M57" s="46"/>
      <c r="N57" s="46"/>
      <c r="O57" s="46"/>
    </row>
    <row r="58" spans="1:15">
      <c r="A58" s="967"/>
      <c r="B58" s="46"/>
      <c r="C58" s="46"/>
      <c r="D58" s="46"/>
      <c r="E58" s="46"/>
      <c r="F58" s="46"/>
      <c r="G58" s="46"/>
      <c r="H58" s="46"/>
      <c r="I58" s="46"/>
      <c r="J58" s="46"/>
      <c r="K58" s="46"/>
      <c r="L58" s="46"/>
      <c r="M58" s="46"/>
      <c r="N58" s="46"/>
      <c r="O58" s="46"/>
    </row>
  </sheetData>
  <mergeCells count="1">
    <mergeCell ref="E16:H16"/>
  </mergeCells>
  <phoneticPr fontId="87" type="noConversion"/>
  <dataValidations count="1">
    <dataValidation allowBlank="1" showInputMessage="1" showErrorMessage="1" prompt="Có thể gõ tên công trình vào đây" sqref="E42:E43"/>
  </dataValidations>
  <hyperlinks>
    <hyperlink ref="F30" location="ML!A1" tooltip="Về mục lục" display="CỘNG HOÀ XÃ HỘI CHỦ NGHĨA VIỆT NAM"/>
  </hyperlinks>
  <printOptions horizontalCentered="1"/>
  <pageMargins left="0.75" right="0.2" top="0.5" bottom="0.5" header="0.25" footer="0.25"/>
  <pageSetup paperSize="9" orientation="landscape" horizontalDpi="300" verticalDpi="300" r:id="rId1"/>
</worksheet>
</file>

<file path=xl/worksheets/sheet30.xml><?xml version="1.0" encoding="utf-8"?>
<worksheet xmlns="http://schemas.openxmlformats.org/spreadsheetml/2006/main" xmlns:r="http://schemas.openxmlformats.org/officeDocument/2006/relationships">
  <sheetPr codeName="Sheet22">
    <tabColor theme="1"/>
  </sheetPr>
  <dimension ref="A1:L23"/>
  <sheetViews>
    <sheetView showZeros="0" zoomScaleSheetLayoutView="100" workbookViewId="0">
      <selection activeCell="A3" sqref="A3"/>
    </sheetView>
  </sheetViews>
  <sheetFormatPr defaultRowHeight="15"/>
  <cols>
    <col min="1" max="1" width="5.5703125" customWidth="1"/>
    <col min="2" max="2" width="51.7109375" customWidth="1"/>
    <col min="3" max="3" width="16.42578125" customWidth="1"/>
    <col min="4" max="4" width="16.85546875" customWidth="1"/>
    <col min="5" max="5" width="14.42578125" customWidth="1"/>
    <col min="6" max="6" width="14.85546875" customWidth="1"/>
  </cols>
  <sheetData>
    <row r="1" spans="1:12" ht="27.95" customHeight="1">
      <c r="A1" s="2" t="s">
        <v>539</v>
      </c>
      <c r="B1" s="423"/>
      <c r="C1" s="423"/>
      <c r="D1" s="424"/>
      <c r="E1" s="424"/>
      <c r="F1" s="424"/>
      <c r="G1" s="425"/>
    </row>
    <row r="2" spans="1:12" ht="20.100000000000001" customHeight="1">
      <c r="A2" s="3" t="str">
        <f>'Bia1'!D42&amp;'Bia1'!E42</f>
        <v>CÔNG TRÌNH: NHÀ BIỆT THỰ GXD</v>
      </c>
      <c r="B2" s="139"/>
      <c r="C2" s="139"/>
      <c r="D2" s="140"/>
      <c r="E2" s="140"/>
      <c r="F2" s="140"/>
      <c r="G2" s="426"/>
      <c r="H2" s="231"/>
      <c r="I2" s="231"/>
      <c r="J2" s="231"/>
      <c r="K2" s="231"/>
      <c r="L2" s="231"/>
    </row>
    <row r="3" spans="1:12" ht="20.100000000000001" customHeight="1">
      <c r="A3" s="3" t="str">
        <f>'Bia2'!D43&amp;'Bia2'!E43</f>
        <v>HẠNG MỤC: ĐỔI BẢNG MÃ FONT RẤT ĐƠN GIẢN TRONG DỰ TOÁN GXD</v>
      </c>
      <c r="B3" s="139"/>
      <c r="C3" s="139"/>
      <c r="D3" s="140"/>
      <c r="E3" s="140"/>
      <c r="F3" s="140"/>
      <c r="G3" s="426"/>
      <c r="H3" s="231"/>
      <c r="I3" s="231"/>
      <c r="J3" s="231"/>
      <c r="K3" s="231"/>
      <c r="L3" s="231"/>
    </row>
    <row r="4" spans="1:12">
      <c r="A4" s="106"/>
      <c r="B4" s="106"/>
      <c r="C4" s="106"/>
      <c r="D4" s="107"/>
      <c r="E4" s="107"/>
      <c r="F4" s="280" t="s">
        <v>956</v>
      </c>
      <c r="G4" s="427"/>
      <c r="H4" s="231"/>
      <c r="I4" s="231"/>
      <c r="J4" s="231"/>
      <c r="K4" s="231"/>
      <c r="L4" s="231"/>
    </row>
    <row r="5" spans="1:12" ht="20.100000000000001" customHeight="1">
      <c r="A5" s="428" t="s">
        <v>660</v>
      </c>
      <c r="B5" s="844" t="s">
        <v>540</v>
      </c>
      <c r="C5" s="844" t="s">
        <v>57</v>
      </c>
      <c r="D5" s="844" t="s">
        <v>58</v>
      </c>
      <c r="E5" s="844" t="s">
        <v>59</v>
      </c>
      <c r="F5" s="844" t="s">
        <v>60</v>
      </c>
      <c r="G5" s="429"/>
      <c r="H5" s="231"/>
      <c r="I5" s="231"/>
      <c r="J5" s="231"/>
      <c r="K5" s="231"/>
      <c r="L5" s="231"/>
    </row>
    <row r="6" spans="1:12" ht="23.1" customHeight="1">
      <c r="A6" s="111"/>
      <c r="B6" s="151"/>
      <c r="C6" s="111"/>
      <c r="D6" s="112"/>
      <c r="E6" s="112"/>
      <c r="F6" s="112"/>
      <c r="G6" s="430"/>
      <c r="H6" s="231"/>
      <c r="I6" s="231"/>
      <c r="J6" s="231"/>
      <c r="K6" s="231"/>
      <c r="L6" s="231"/>
    </row>
    <row r="7" spans="1:12" ht="23.1" customHeight="1">
      <c r="A7" s="114">
        <v>1</v>
      </c>
      <c r="B7" s="115" t="s">
        <v>541</v>
      </c>
      <c r="C7" s="117" t="s">
        <v>64</v>
      </c>
      <c r="D7" s="118">
        <f>'CP mua sam tbi'!F13</f>
        <v>0</v>
      </c>
      <c r="E7" s="118">
        <f>'CP mua sam tbi'!G13</f>
        <v>0</v>
      </c>
      <c r="F7" s="118">
        <f>'CP mua sam tbi'!H13</f>
        <v>0</v>
      </c>
      <c r="G7" s="113"/>
      <c r="H7" s="231"/>
      <c r="I7" s="231"/>
      <c r="J7" s="231"/>
      <c r="K7" s="231"/>
      <c r="L7" s="231"/>
    </row>
    <row r="8" spans="1:12" ht="23.1" customHeight="1">
      <c r="A8" s="114">
        <v>2</v>
      </c>
      <c r="B8" s="115" t="s">
        <v>542</v>
      </c>
      <c r="C8" s="117" t="s">
        <v>64</v>
      </c>
      <c r="D8" s="118">
        <f>'CP dao tao'!F22</f>
        <v>0</v>
      </c>
      <c r="E8" s="118">
        <f>'CP dao tao'!G22</f>
        <v>0</v>
      </c>
      <c r="F8" s="118">
        <f>'CP dao tao'!H22</f>
        <v>0</v>
      </c>
      <c r="G8" s="113"/>
      <c r="H8" s="231"/>
      <c r="I8" s="231"/>
      <c r="J8" s="231"/>
      <c r="K8" s="231"/>
      <c r="L8" s="231"/>
    </row>
    <row r="9" spans="1:12" ht="23.1" customHeight="1">
      <c r="A9" s="114">
        <v>3</v>
      </c>
      <c r="B9" s="115" t="s">
        <v>543</v>
      </c>
      <c r="C9" s="117" t="s">
        <v>544</v>
      </c>
      <c r="D9" s="118">
        <f>D10+D11</f>
        <v>0</v>
      </c>
      <c r="E9" s="118">
        <f>E10+E11</f>
        <v>0</v>
      </c>
      <c r="F9" s="118">
        <f>F10+F11</f>
        <v>0</v>
      </c>
      <c r="G9" s="124"/>
      <c r="H9" s="231"/>
      <c r="I9" s="231"/>
      <c r="J9" s="231"/>
      <c r="K9" s="231"/>
      <c r="L9" s="231"/>
    </row>
    <row r="10" spans="1:12" ht="23.1" customHeight="1">
      <c r="A10" s="119" t="s">
        <v>545</v>
      </c>
      <c r="B10" s="120" t="s">
        <v>546</v>
      </c>
      <c r="C10" s="117" t="s">
        <v>64</v>
      </c>
      <c r="D10" s="122">
        <f>'Hang muc TB'!C12</f>
        <v>0</v>
      </c>
      <c r="E10" s="122">
        <f>'Hang muc TB'!D12</f>
        <v>0</v>
      </c>
      <c r="F10" s="122">
        <f>'Lap dat'!D23</f>
        <v>0</v>
      </c>
      <c r="G10" s="124"/>
      <c r="H10" s="231"/>
      <c r="I10" s="231"/>
      <c r="J10" s="231"/>
      <c r="K10" s="231"/>
      <c r="L10" s="231"/>
    </row>
    <row r="11" spans="1:12" ht="23.1" customHeight="1">
      <c r="A11" s="119" t="s">
        <v>547</v>
      </c>
      <c r="B11" s="120" t="s">
        <v>66</v>
      </c>
      <c r="C11" s="117" t="s">
        <v>64</v>
      </c>
      <c r="D11" s="122">
        <f>F11/1.1</f>
        <v>0</v>
      </c>
      <c r="E11" s="122">
        <f>F11-D11</f>
        <v>0</v>
      </c>
      <c r="F11" s="122">
        <f>'Hang muc TB'!F12</f>
        <v>0</v>
      </c>
      <c r="G11" s="124"/>
      <c r="H11" s="231"/>
      <c r="I11" s="231"/>
      <c r="J11" s="231"/>
      <c r="K11" s="231"/>
      <c r="L11" s="231"/>
    </row>
    <row r="12" spans="1:12" ht="23.1" customHeight="1">
      <c r="A12" s="114"/>
      <c r="B12" s="431" t="s">
        <v>68</v>
      </c>
      <c r="C12" s="117" t="s">
        <v>548</v>
      </c>
      <c r="D12" s="118">
        <f>D7+D8+D9</f>
        <v>0</v>
      </c>
      <c r="E12" s="118">
        <f>E7+E8+E9</f>
        <v>0</v>
      </c>
      <c r="F12" s="118">
        <f>F7+F8+F9</f>
        <v>0</v>
      </c>
      <c r="G12" s="124"/>
      <c r="H12" s="231"/>
      <c r="I12" s="231"/>
      <c r="J12" s="231"/>
      <c r="K12" s="231"/>
      <c r="L12" s="231"/>
    </row>
    <row r="13" spans="1:12" ht="14.1" customHeight="1">
      <c r="A13" s="432"/>
      <c r="B13" s="851" t="s">
        <v>549</v>
      </c>
      <c r="C13" s="852"/>
      <c r="D13" s="853">
        <f>ROUND(D12,-3)</f>
        <v>0</v>
      </c>
      <c r="E13" s="853">
        <f>ROUND(E12,-3)</f>
        <v>0</v>
      </c>
      <c r="F13" s="853">
        <f>SUM(D13:E13)</f>
        <v>0</v>
      </c>
      <c r="G13" s="433"/>
      <c r="H13" s="231"/>
      <c r="I13" s="231"/>
      <c r="J13" s="231"/>
      <c r="K13" s="231"/>
      <c r="L13" s="231"/>
    </row>
    <row r="14" spans="1:12" ht="20.100000000000001" customHeight="1">
      <c r="A14" s="434"/>
      <c r="B14" s="435"/>
      <c r="C14" s="308"/>
      <c r="D14" s="434"/>
      <c r="E14" s="436"/>
      <c r="F14" s="436"/>
      <c r="G14" s="436"/>
      <c r="H14" s="437"/>
      <c r="I14" s="231"/>
      <c r="J14" s="231"/>
      <c r="K14" s="231"/>
      <c r="L14" s="231"/>
    </row>
    <row r="15" spans="1:12" ht="20.100000000000001" customHeight="1">
      <c r="A15" s="131"/>
      <c r="B15" s="132" t="s">
        <v>70</v>
      </c>
      <c r="C15" s="135" t="s">
        <v>71</v>
      </c>
      <c r="D15" s="135"/>
      <c r="E15" s="438"/>
      <c r="F15" s="438"/>
      <c r="G15" s="439"/>
      <c r="H15" s="437"/>
      <c r="I15" s="231"/>
      <c r="J15" s="231"/>
      <c r="K15" s="231"/>
      <c r="L15" s="231"/>
    </row>
    <row r="16" spans="1:12" ht="20.100000000000001" customHeight="1">
      <c r="A16" s="131"/>
      <c r="B16" s="132"/>
      <c r="C16" s="135"/>
      <c r="D16" s="135"/>
      <c r="E16" s="438"/>
      <c r="F16" s="438"/>
      <c r="G16" s="439"/>
      <c r="H16" s="437"/>
      <c r="I16" s="231"/>
      <c r="J16" s="231"/>
      <c r="K16" s="231"/>
      <c r="L16" s="231"/>
    </row>
    <row r="17" spans="1:12" ht="20.100000000000001" customHeight="1">
      <c r="A17" s="131"/>
      <c r="B17" s="132"/>
      <c r="C17" s="135"/>
      <c r="D17" s="135"/>
      <c r="E17" s="438"/>
      <c r="F17" s="438"/>
      <c r="G17" s="439"/>
      <c r="H17" s="437"/>
      <c r="I17" s="231"/>
      <c r="J17" s="231"/>
      <c r="K17" s="231"/>
      <c r="L17" s="231"/>
    </row>
    <row r="18" spans="1:12" ht="20.100000000000001" customHeight="1">
      <c r="A18" s="131"/>
      <c r="B18" s="132"/>
      <c r="C18" s="135"/>
      <c r="D18" s="135"/>
      <c r="E18" s="438"/>
      <c r="F18" s="438"/>
      <c r="G18" s="439"/>
      <c r="H18" s="437"/>
      <c r="I18" s="231"/>
      <c r="J18" s="231"/>
      <c r="K18" s="231"/>
      <c r="L18" s="231"/>
    </row>
    <row r="19" spans="1:12" ht="20.100000000000001" customHeight="1">
      <c r="A19" s="131"/>
      <c r="B19" s="132"/>
      <c r="C19" s="137" t="s">
        <v>72</v>
      </c>
      <c r="D19" s="137"/>
      <c r="E19" s="438"/>
      <c r="F19" s="438"/>
      <c r="G19" s="439"/>
      <c r="H19" s="437"/>
      <c r="I19" s="231"/>
      <c r="J19" s="231"/>
      <c r="K19" s="231"/>
      <c r="L19" s="231"/>
    </row>
    <row r="20" spans="1:12" ht="20.100000000000001" customHeight="1">
      <c r="A20" s="434"/>
      <c r="B20" s="435"/>
      <c r="C20" s="308"/>
      <c r="D20" s="434"/>
      <c r="E20" s="436"/>
      <c r="F20" s="436"/>
      <c r="G20" s="436"/>
      <c r="H20" s="437"/>
      <c r="I20" s="231"/>
      <c r="J20" s="231"/>
      <c r="K20" s="231"/>
      <c r="L20" s="231"/>
    </row>
    <row r="21" spans="1:12" ht="20.100000000000001" customHeight="1">
      <c r="A21" s="434"/>
      <c r="B21" s="435"/>
      <c r="C21" s="308"/>
      <c r="D21" s="434"/>
      <c r="E21" s="436"/>
      <c r="F21" s="436"/>
      <c r="G21" s="436"/>
      <c r="H21" s="437"/>
      <c r="I21" s="231"/>
      <c r="J21" s="231"/>
      <c r="K21" s="231"/>
      <c r="L21" s="231"/>
    </row>
    <row r="22" spans="1:12">
      <c r="G22" s="231"/>
      <c r="H22" s="231"/>
      <c r="I22" s="231"/>
      <c r="J22" s="231"/>
      <c r="K22" s="231"/>
      <c r="L22" s="231"/>
    </row>
    <row r="23" spans="1:12">
      <c r="G23" s="440"/>
    </row>
  </sheetData>
  <phoneticPr fontId="87" type="noConversion"/>
  <hyperlinks>
    <hyperlink ref="A1" location="THKP!A1" tooltip="Về bảng tổng hợp dự toán" display="BẢNG TỔNG HỢP DỰ TOÁN CHI PHÍ THIẾT BỊ"/>
  </hyperlinks>
  <printOptions horizontalCentered="1"/>
  <pageMargins left="0.75" right="0.25" top="0.5" bottom="0.5" header="0.25" footer="0.25"/>
  <pageSetup paperSize="9" orientation="landscape" horizontalDpi="300" verticalDpi="300" r:id="rId1"/>
  <headerFooter>
    <oddHeader>&amp;L&amp;"+,nghiêng"&amp;10Dự toán GXD - www.giaxaydung.vn</oddHeader>
    <oddFooter>&amp;C&amp;P</oddFooter>
  </headerFooter>
  <ignoredErrors>
    <ignoredError sqref="A2:A3" unlockedFormula="1"/>
  </ignoredErrors>
</worksheet>
</file>

<file path=xl/worksheets/sheet31.xml><?xml version="1.0" encoding="utf-8"?>
<worksheet xmlns="http://schemas.openxmlformats.org/spreadsheetml/2006/main" xmlns:r="http://schemas.openxmlformats.org/officeDocument/2006/relationships">
  <sheetPr codeName="Sheet23">
    <tabColor indexed="8"/>
  </sheetPr>
  <dimension ref="A1:J21"/>
  <sheetViews>
    <sheetView showZeros="0" zoomScaleSheetLayoutView="85" workbookViewId="0">
      <selection activeCell="A3" sqref="A3"/>
    </sheetView>
  </sheetViews>
  <sheetFormatPr defaultRowHeight="15"/>
  <cols>
    <col min="1" max="1" width="5.5703125" customWidth="1"/>
    <col min="2" max="2" width="36.42578125" customWidth="1"/>
    <col min="3" max="3" width="9.140625" customWidth="1"/>
    <col min="4" max="4" width="10" customWidth="1"/>
    <col min="5" max="5" width="13.140625" style="591" customWidth="1"/>
    <col min="6" max="6" width="16.140625" style="591" customWidth="1"/>
    <col min="7" max="7" width="12.42578125" style="591" customWidth="1"/>
    <col min="8" max="8" width="13.85546875" style="591" customWidth="1"/>
    <col min="9" max="9" width="10" customWidth="1"/>
    <col min="10" max="10" width="23" customWidth="1"/>
  </cols>
  <sheetData>
    <row r="1" spans="1:10" ht="27.95" customHeight="1">
      <c r="A1" s="2" t="s">
        <v>550</v>
      </c>
      <c r="B1" s="423"/>
      <c r="C1" s="423"/>
      <c r="D1" s="423"/>
      <c r="E1" s="424"/>
      <c r="F1" s="424"/>
      <c r="G1" s="424"/>
      <c r="H1" s="424"/>
    </row>
    <row r="2" spans="1:10" ht="20.100000000000001" customHeight="1">
      <c r="A2" s="3" t="str">
        <f>'Bia1'!D42&amp;'Bia1'!E42</f>
        <v>CÔNG TRÌNH: NHÀ BIỆT THỰ GXD</v>
      </c>
      <c r="B2" s="139"/>
      <c r="C2" s="139"/>
      <c r="D2" s="139"/>
      <c r="E2" s="140"/>
      <c r="F2" s="140"/>
      <c r="G2" s="140"/>
      <c r="H2" s="140"/>
    </row>
    <row r="3" spans="1:10" ht="20.100000000000001" customHeight="1">
      <c r="A3" s="3" t="str">
        <f>'Bia2'!D43&amp;'Bia2'!E43</f>
        <v>HẠNG MỤC: ĐỔI BẢNG MÃ FONT RẤT ĐƠN GIẢN TRONG DỰ TOÁN GXD</v>
      </c>
      <c r="B3" s="139"/>
      <c r="C3" s="139"/>
      <c r="D3" s="139"/>
      <c r="E3" s="140"/>
      <c r="F3" s="140"/>
      <c r="G3" s="140"/>
      <c r="H3" s="140"/>
    </row>
    <row r="4" spans="1:10">
      <c r="A4" s="106"/>
      <c r="B4" s="106"/>
      <c r="C4" s="106"/>
      <c r="D4" s="106"/>
      <c r="E4" s="107"/>
      <c r="F4" s="107"/>
      <c r="G4" s="107"/>
      <c r="H4" s="520" t="s">
        <v>956</v>
      </c>
      <c r="I4" s="441"/>
      <c r="J4" s="441"/>
    </row>
    <row r="5" spans="1:10" ht="30.75" customHeight="1">
      <c r="A5" s="428" t="s">
        <v>660</v>
      </c>
      <c r="B5" s="849" t="s">
        <v>540</v>
      </c>
      <c r="C5" s="849" t="s">
        <v>353</v>
      </c>
      <c r="D5" s="849" t="s">
        <v>328</v>
      </c>
      <c r="E5" s="855" t="s">
        <v>551</v>
      </c>
      <c r="F5" s="855" t="s">
        <v>552</v>
      </c>
      <c r="G5" s="855" t="s">
        <v>59</v>
      </c>
      <c r="H5" s="855" t="s">
        <v>553</v>
      </c>
      <c r="I5" s="849" t="s">
        <v>554</v>
      </c>
      <c r="J5" s="849" t="s">
        <v>555</v>
      </c>
    </row>
    <row r="6" spans="1:10" ht="21.95" customHeight="1">
      <c r="A6" s="111"/>
      <c r="B6" s="151"/>
      <c r="C6" s="151"/>
      <c r="D6" s="111"/>
      <c r="E6" s="585"/>
      <c r="F6" s="112"/>
      <c r="G6" s="112"/>
      <c r="H6" s="112"/>
      <c r="I6" s="112"/>
      <c r="J6" s="112"/>
    </row>
    <row r="7" spans="1:10" ht="21.95" customHeight="1">
      <c r="A7" s="117">
        <v>1</v>
      </c>
      <c r="B7" s="443" t="s">
        <v>556</v>
      </c>
      <c r="C7" s="443"/>
      <c r="D7" s="117"/>
      <c r="E7" s="586"/>
      <c r="F7" s="122">
        <f>D7*E7</f>
        <v>0</v>
      </c>
      <c r="G7" s="122">
        <f>F7*I7</f>
        <v>0</v>
      </c>
      <c r="H7" s="122">
        <f>F7+G7</f>
        <v>0</v>
      </c>
      <c r="I7" s="444">
        <v>0.1</v>
      </c>
      <c r="J7" s="122"/>
    </row>
    <row r="8" spans="1:10" ht="21.95" customHeight="1">
      <c r="A8" s="117">
        <v>2</v>
      </c>
      <c r="B8" s="443" t="s">
        <v>557</v>
      </c>
      <c r="C8" s="443"/>
      <c r="D8" s="117"/>
      <c r="E8" s="586"/>
      <c r="F8" s="122">
        <f>D8*E8</f>
        <v>0</v>
      </c>
      <c r="G8" s="122">
        <f>F8*I8</f>
        <v>0</v>
      </c>
      <c r="H8" s="122">
        <f>F8+G8</f>
        <v>0</v>
      </c>
      <c r="I8" s="444">
        <v>0.1</v>
      </c>
      <c r="J8" s="122"/>
    </row>
    <row r="9" spans="1:10" ht="21.95" customHeight="1">
      <c r="A9" s="117">
        <v>3</v>
      </c>
      <c r="B9" s="443" t="s">
        <v>558</v>
      </c>
      <c r="C9" s="443"/>
      <c r="D9" s="117"/>
      <c r="E9" s="586"/>
      <c r="F9" s="122">
        <f>D9*E9</f>
        <v>0</v>
      </c>
      <c r="G9" s="122">
        <f>F9*I9</f>
        <v>0</v>
      </c>
      <c r="H9" s="122">
        <f>F9+G9</f>
        <v>0</v>
      </c>
      <c r="I9" s="444">
        <v>0.1</v>
      </c>
      <c r="J9" s="122"/>
    </row>
    <row r="10" spans="1:10" ht="21.95" customHeight="1">
      <c r="A10" s="117" t="s">
        <v>559</v>
      </c>
      <c r="B10" s="443" t="s">
        <v>559</v>
      </c>
      <c r="C10" s="443"/>
      <c r="D10" s="117"/>
      <c r="E10" s="586"/>
      <c r="F10" s="122">
        <f>D10*E10</f>
        <v>0</v>
      </c>
      <c r="G10" s="122">
        <f>F10*I10</f>
        <v>0</v>
      </c>
      <c r="H10" s="122">
        <f>F10+G10</f>
        <v>0</v>
      </c>
      <c r="I10" s="444">
        <v>0.1</v>
      </c>
      <c r="J10" s="122"/>
    </row>
    <row r="11" spans="1:10" ht="21.95" customHeight="1">
      <c r="A11" s="117" t="s">
        <v>560</v>
      </c>
      <c r="B11" s="443" t="s">
        <v>561</v>
      </c>
      <c r="C11" s="443"/>
      <c r="D11" s="117"/>
      <c r="E11" s="586"/>
      <c r="F11" s="122">
        <f>D11*E11</f>
        <v>0</v>
      </c>
      <c r="G11" s="122">
        <f>F11*I11</f>
        <v>0</v>
      </c>
      <c r="H11" s="122">
        <f>F11+G11</f>
        <v>0</v>
      </c>
      <c r="I11" s="444">
        <v>0.1</v>
      </c>
      <c r="J11" s="122"/>
    </row>
    <row r="12" spans="1:10" ht="21.95" customHeight="1">
      <c r="A12" s="114"/>
      <c r="B12" s="126" t="s">
        <v>562</v>
      </c>
      <c r="C12" s="126"/>
      <c r="D12" s="117"/>
      <c r="E12" s="586"/>
      <c r="F12" s="118">
        <f>SUM(F7:F11)</f>
        <v>0</v>
      </c>
      <c r="G12" s="118">
        <f>SUM(G7:G11)</f>
        <v>0</v>
      </c>
      <c r="H12" s="118">
        <f>SUM(H7:H11)</f>
        <v>0</v>
      </c>
      <c r="I12" s="118"/>
      <c r="J12" s="118"/>
    </row>
    <row r="13" spans="1:10" ht="14.1" customHeight="1">
      <c r="A13" s="428"/>
      <c r="B13" s="851" t="s">
        <v>549</v>
      </c>
      <c r="C13" s="852"/>
      <c r="D13" s="852"/>
      <c r="E13" s="854"/>
      <c r="F13" s="853">
        <f>ROUND(F12,-3)</f>
        <v>0</v>
      </c>
      <c r="G13" s="853">
        <f>ROUND(G12,-3)</f>
        <v>0</v>
      </c>
      <c r="H13" s="853">
        <f>SUM(F13:G13)</f>
        <v>0</v>
      </c>
      <c r="I13" s="853"/>
      <c r="J13" s="853"/>
    </row>
    <row r="14" spans="1:10" ht="20.100000000000001" customHeight="1">
      <c r="A14" s="131"/>
      <c r="B14" s="132"/>
      <c r="C14" s="132"/>
      <c r="D14" s="131"/>
      <c r="E14" s="587"/>
      <c r="F14" s="587"/>
      <c r="G14" s="133"/>
      <c r="H14" s="133"/>
      <c r="I14" s="436"/>
      <c r="J14" s="436"/>
    </row>
    <row r="15" spans="1:10" ht="20.100000000000001" customHeight="1">
      <c r="A15" s="131"/>
      <c r="B15" s="132" t="s">
        <v>70</v>
      </c>
      <c r="C15" s="132"/>
      <c r="D15" s="135" t="s">
        <v>71</v>
      </c>
      <c r="E15" s="135"/>
      <c r="F15" s="135"/>
      <c r="G15" s="588"/>
      <c r="H15" s="588"/>
    </row>
    <row r="16" spans="1:10" ht="20.100000000000001" customHeight="1">
      <c r="A16" s="131"/>
      <c r="B16" s="132"/>
      <c r="C16" s="132"/>
      <c r="D16" s="135"/>
      <c r="E16" s="135"/>
      <c r="F16" s="135"/>
      <c r="G16" s="588"/>
      <c r="H16" s="588"/>
    </row>
    <row r="17" spans="1:10" ht="20.100000000000001" customHeight="1">
      <c r="A17" s="131"/>
      <c r="B17" s="132"/>
      <c r="C17" s="132"/>
      <c r="D17" s="135"/>
      <c r="E17" s="135"/>
      <c r="F17" s="135"/>
      <c r="G17" s="588"/>
      <c r="H17" s="588"/>
    </row>
    <row r="18" spans="1:10" ht="20.100000000000001" customHeight="1">
      <c r="A18" s="131"/>
      <c r="B18" s="132"/>
      <c r="C18" s="132"/>
      <c r="D18" s="135"/>
      <c r="E18" s="135"/>
      <c r="F18" s="135"/>
      <c r="G18" s="588"/>
      <c r="H18" s="588"/>
    </row>
    <row r="19" spans="1:10" ht="20.100000000000001" customHeight="1">
      <c r="A19" s="131"/>
      <c r="B19" s="132"/>
      <c r="C19" s="132"/>
      <c r="D19" s="137" t="s">
        <v>72</v>
      </c>
      <c r="E19" s="135"/>
      <c r="F19" s="135"/>
      <c r="G19" s="588"/>
      <c r="H19" s="588"/>
    </row>
    <row r="20" spans="1:10" ht="20.100000000000001" customHeight="1">
      <c r="A20" s="434"/>
      <c r="B20" s="435"/>
      <c r="C20" s="435"/>
      <c r="D20" s="308"/>
      <c r="E20" s="589"/>
      <c r="F20" s="590"/>
      <c r="G20" s="436"/>
      <c r="H20" s="436"/>
      <c r="I20" s="436"/>
      <c r="J20" s="436"/>
    </row>
    <row r="21" spans="1:10" ht="20.100000000000001" customHeight="1">
      <c r="A21" s="434"/>
      <c r="B21" s="435"/>
      <c r="C21" s="435"/>
      <c r="D21" s="308"/>
      <c r="E21" s="589"/>
      <c r="F21" s="590"/>
      <c r="G21" s="436"/>
      <c r="H21" s="436"/>
      <c r="I21" s="436"/>
      <c r="J21" s="436"/>
    </row>
  </sheetData>
  <phoneticPr fontId="87" type="noConversion"/>
  <hyperlinks>
    <hyperlink ref="A1" location="Gtb!A1" tooltip="Về bảng tổng hợp dự toán chi phí thiết bị" display="BẢNG DỰ TOÁN CHI PHÍ MUA SẮM THIẾT BỊ"/>
  </hyperlinks>
  <printOptions horizontalCentered="1"/>
  <pageMargins left="0.75" right="0.25" top="0.5" bottom="0.5" header="0.25" footer="0.25"/>
  <pageSetup paperSize="9" orientation="landscape" horizontalDpi="300" verticalDpi="300" r:id="rId1"/>
  <headerFooter>
    <oddHeader>&amp;L&amp;"+,nghiêng"&amp;10Dự toán GXD - www.giaxaydung.vn</oddHeader>
    <oddFooter>&amp;C&amp;P</oddFooter>
  </headerFooter>
  <ignoredErrors>
    <ignoredError sqref="A2:A3" unlockedFormula="1"/>
  </ignoredErrors>
</worksheet>
</file>

<file path=xl/worksheets/sheet32.xml><?xml version="1.0" encoding="utf-8"?>
<worksheet xmlns="http://schemas.openxmlformats.org/spreadsheetml/2006/main" xmlns:r="http://schemas.openxmlformats.org/officeDocument/2006/relationships">
  <sheetPr codeName="Sheet24" enableFormatConditionsCalculation="0">
    <tabColor indexed="8"/>
  </sheetPr>
  <dimension ref="A1:I23"/>
  <sheetViews>
    <sheetView showZeros="0" workbookViewId="0">
      <selection activeCell="A3" sqref="A3"/>
    </sheetView>
  </sheetViews>
  <sheetFormatPr defaultRowHeight="15"/>
  <cols>
    <col min="2" max="2" width="30.140625" customWidth="1"/>
    <col min="4" max="4" width="11" customWidth="1"/>
    <col min="5" max="5" width="14" customWidth="1"/>
    <col min="6" max="6" width="17.140625" customWidth="1"/>
    <col min="7" max="7" width="13.85546875" customWidth="1"/>
    <col min="8" max="8" width="14.5703125" customWidth="1"/>
    <col min="9" max="9" width="10" customWidth="1"/>
  </cols>
  <sheetData>
    <row r="1" spans="1:9" s="321" customFormat="1" ht="22.5">
      <c r="A1" s="2" t="s">
        <v>563</v>
      </c>
      <c r="B1" s="445"/>
      <c r="C1" s="445"/>
      <c r="D1" s="445"/>
      <c r="E1" s="445"/>
      <c r="F1" s="445"/>
      <c r="G1" s="445"/>
      <c r="H1" s="446"/>
    </row>
    <row r="2" spans="1:9" s="321" customFormat="1" ht="20.100000000000001" customHeight="1">
      <c r="A2" s="3" t="str">
        <f>'Bia1'!D42&amp;'Bia1'!E42</f>
        <v>CÔNG TRÌNH: NHÀ BIỆT THỰ GXD</v>
      </c>
      <c r="B2" s="447"/>
      <c r="C2" s="447"/>
      <c r="D2" s="447"/>
      <c r="E2" s="447"/>
      <c r="F2" s="447"/>
      <c r="G2" s="447"/>
      <c r="H2" s="448"/>
    </row>
    <row r="3" spans="1:9" s="321" customFormat="1" ht="18.75">
      <c r="A3" s="3" t="str">
        <f>'Bia2'!D43&amp;'Bia2'!E43</f>
        <v>HẠNG MỤC: ĐỔI BẢNG MÃ FONT RẤT ĐƠN GIẢN TRONG DỰ TOÁN GXD</v>
      </c>
      <c r="B3" s="447"/>
      <c r="C3" s="447"/>
      <c r="D3" s="447"/>
      <c r="E3" s="447"/>
      <c r="F3" s="447"/>
      <c r="G3" s="447"/>
      <c r="H3" s="448"/>
    </row>
    <row r="4" spans="1:9">
      <c r="H4" s="280" t="s">
        <v>956</v>
      </c>
    </row>
    <row r="5" spans="1:9" ht="24">
      <c r="A5" s="449" t="s">
        <v>660</v>
      </c>
      <c r="B5" s="856" t="s">
        <v>55</v>
      </c>
      <c r="C5" s="857" t="s">
        <v>564</v>
      </c>
      <c r="D5" s="855" t="s">
        <v>328</v>
      </c>
      <c r="E5" s="855" t="s">
        <v>551</v>
      </c>
      <c r="F5" s="858" t="s">
        <v>58</v>
      </c>
      <c r="G5" s="857" t="s">
        <v>59</v>
      </c>
      <c r="H5" s="857" t="s">
        <v>60</v>
      </c>
      <c r="I5" s="849" t="s">
        <v>554</v>
      </c>
    </row>
    <row r="6" spans="1:9" ht="15.75">
      <c r="A6" s="450"/>
      <c r="B6" s="450"/>
      <c r="C6" s="450"/>
      <c r="D6" s="450"/>
      <c r="E6" s="450"/>
      <c r="F6" s="451"/>
      <c r="G6" s="451"/>
      <c r="H6" s="451"/>
      <c r="I6" s="112"/>
    </row>
    <row r="7" spans="1:9" ht="15.75">
      <c r="A7" s="452" t="s">
        <v>173</v>
      </c>
      <c r="B7" s="453" t="s">
        <v>286</v>
      </c>
      <c r="C7" s="452"/>
      <c r="D7" s="452"/>
      <c r="E7" s="452"/>
      <c r="F7" s="454">
        <f>SUM(F8,F12,F13:F16)</f>
        <v>0</v>
      </c>
      <c r="G7" s="454">
        <f>SUM(G8,G12,G13:G16)</f>
        <v>0</v>
      </c>
      <c r="H7" s="454">
        <f>SUM(H8,H12,H13:H16)</f>
        <v>0</v>
      </c>
      <c r="I7" s="444"/>
    </row>
    <row r="8" spans="1:9" ht="15.75">
      <c r="A8" s="117">
        <v>1</v>
      </c>
      <c r="B8" s="443" t="s">
        <v>565</v>
      </c>
      <c r="C8" s="117"/>
      <c r="D8" s="117"/>
      <c r="E8" s="117"/>
      <c r="F8" s="455">
        <f>SUM(F9:F11)</f>
        <v>0</v>
      </c>
      <c r="G8" s="455">
        <f>SUM(G9:G11)</f>
        <v>0</v>
      </c>
      <c r="H8" s="455">
        <f>SUM(H9:H11)</f>
        <v>0</v>
      </c>
      <c r="I8" s="444"/>
    </row>
    <row r="9" spans="1:9" ht="15.75">
      <c r="A9" s="117"/>
      <c r="B9" s="443" t="s">
        <v>566</v>
      </c>
      <c r="C9" s="117"/>
      <c r="D9" s="117"/>
      <c r="E9" s="117"/>
      <c r="F9" s="455">
        <f>D9*E9</f>
        <v>0</v>
      </c>
      <c r="G9" s="455">
        <f t="shared" ref="G9:G19" si="0">F9*I9</f>
        <v>0</v>
      </c>
      <c r="H9" s="456">
        <f t="shared" ref="H9:H19" si="1">F9+G9</f>
        <v>0</v>
      </c>
      <c r="I9" s="444">
        <v>0.1</v>
      </c>
    </row>
    <row r="10" spans="1:9" ht="15.75">
      <c r="A10" s="117"/>
      <c r="B10" s="443" t="s">
        <v>567</v>
      </c>
      <c r="C10" s="117"/>
      <c r="D10" s="117"/>
      <c r="E10" s="117"/>
      <c r="F10" s="455">
        <f t="shared" ref="F10:F19" si="2">D10*E10</f>
        <v>0</v>
      </c>
      <c r="G10" s="455">
        <f t="shared" si="0"/>
        <v>0</v>
      </c>
      <c r="H10" s="456">
        <f t="shared" si="1"/>
        <v>0</v>
      </c>
      <c r="I10" s="444">
        <v>0.1</v>
      </c>
    </row>
    <row r="11" spans="1:9" ht="15.75">
      <c r="A11" s="117"/>
      <c r="B11" s="443" t="s">
        <v>568</v>
      </c>
      <c r="C11" s="117"/>
      <c r="D11" s="117"/>
      <c r="E11" s="117"/>
      <c r="F11" s="455">
        <f t="shared" si="2"/>
        <v>0</v>
      </c>
      <c r="G11" s="455">
        <f t="shared" si="0"/>
        <v>0</v>
      </c>
      <c r="H11" s="456">
        <f t="shared" si="1"/>
        <v>0</v>
      </c>
      <c r="I11" s="444">
        <v>0.1</v>
      </c>
    </row>
    <row r="12" spans="1:9" ht="15.75">
      <c r="A12" s="117">
        <v>2</v>
      </c>
      <c r="B12" s="443" t="s">
        <v>569</v>
      </c>
      <c r="C12" s="117"/>
      <c r="D12" s="117"/>
      <c r="E12" s="117"/>
      <c r="F12" s="455">
        <f t="shared" si="2"/>
        <v>0</v>
      </c>
      <c r="G12" s="455">
        <f t="shared" si="0"/>
        <v>0</v>
      </c>
      <c r="H12" s="456">
        <f t="shared" si="1"/>
        <v>0</v>
      </c>
      <c r="I12" s="444">
        <v>0.1</v>
      </c>
    </row>
    <row r="13" spans="1:9" ht="15.75">
      <c r="A13" s="117">
        <v>3</v>
      </c>
      <c r="B13" s="443" t="s">
        <v>570</v>
      </c>
      <c r="C13" s="117"/>
      <c r="D13" s="117"/>
      <c r="E13" s="117"/>
      <c r="F13" s="455">
        <f t="shared" si="2"/>
        <v>0</v>
      </c>
      <c r="G13" s="455">
        <f t="shared" si="0"/>
        <v>0</v>
      </c>
      <c r="H13" s="456">
        <f t="shared" si="1"/>
        <v>0</v>
      </c>
      <c r="I13" s="444">
        <v>0</v>
      </c>
    </row>
    <row r="14" spans="1:9" ht="15.75">
      <c r="A14" s="117">
        <v>4</v>
      </c>
      <c r="B14" s="443" t="s">
        <v>571</v>
      </c>
      <c r="C14" s="117"/>
      <c r="D14" s="117"/>
      <c r="E14" s="117"/>
      <c r="F14" s="455">
        <f t="shared" si="2"/>
        <v>0</v>
      </c>
      <c r="G14" s="455">
        <f t="shared" si="0"/>
        <v>0</v>
      </c>
      <c r="H14" s="456">
        <f t="shared" si="1"/>
        <v>0</v>
      </c>
      <c r="I14" s="444">
        <v>0.1</v>
      </c>
    </row>
    <row r="15" spans="1:9" ht="15.75">
      <c r="A15" s="117">
        <v>5</v>
      </c>
      <c r="B15" s="443" t="s">
        <v>572</v>
      </c>
      <c r="C15" s="117"/>
      <c r="D15" s="117"/>
      <c r="E15" s="117"/>
      <c r="F15" s="455">
        <f t="shared" si="2"/>
        <v>0</v>
      </c>
      <c r="G15" s="455">
        <f t="shared" si="0"/>
        <v>0</v>
      </c>
      <c r="H15" s="456">
        <f t="shared" si="1"/>
        <v>0</v>
      </c>
      <c r="I15" s="444">
        <v>0.1</v>
      </c>
    </row>
    <row r="16" spans="1:9" ht="15.75">
      <c r="A16" s="117"/>
      <c r="B16" s="443" t="s">
        <v>573</v>
      </c>
      <c r="C16" s="117"/>
      <c r="D16" s="117"/>
      <c r="E16" s="117"/>
      <c r="F16" s="455"/>
      <c r="G16" s="455">
        <f t="shared" si="0"/>
        <v>0</v>
      </c>
      <c r="H16" s="456">
        <f t="shared" si="1"/>
        <v>0</v>
      </c>
      <c r="I16" s="444">
        <v>0.1</v>
      </c>
    </row>
    <row r="17" spans="1:9" ht="15.75">
      <c r="A17" s="114" t="s">
        <v>177</v>
      </c>
      <c r="B17" s="457" t="s">
        <v>526</v>
      </c>
      <c r="C17" s="114"/>
      <c r="D17" s="114"/>
      <c r="E17" s="114"/>
      <c r="F17" s="455">
        <f t="shared" si="2"/>
        <v>0</v>
      </c>
      <c r="G17" s="455">
        <f t="shared" si="0"/>
        <v>0</v>
      </c>
      <c r="H17" s="456">
        <f t="shared" si="1"/>
        <v>0</v>
      </c>
      <c r="I17" s="444">
        <v>0.1</v>
      </c>
    </row>
    <row r="18" spans="1:9" ht="31.5">
      <c r="A18" s="458" t="s">
        <v>182</v>
      </c>
      <c r="B18" s="459" t="s">
        <v>574</v>
      </c>
      <c r="C18" s="458"/>
      <c r="D18" s="458"/>
      <c r="E18" s="458"/>
      <c r="F18" s="455">
        <f t="shared" si="2"/>
        <v>0</v>
      </c>
      <c r="G18" s="455">
        <f t="shared" si="0"/>
        <v>0</v>
      </c>
      <c r="H18" s="456">
        <f t="shared" si="1"/>
        <v>0</v>
      </c>
      <c r="I18" s="444">
        <v>0.1</v>
      </c>
    </row>
    <row r="19" spans="1:9" ht="15.75">
      <c r="A19" s="458" t="s">
        <v>194</v>
      </c>
      <c r="B19" s="459" t="s">
        <v>575</v>
      </c>
      <c r="C19" s="458"/>
      <c r="D19" s="458"/>
      <c r="E19" s="458"/>
      <c r="F19" s="455">
        <f t="shared" si="2"/>
        <v>0</v>
      </c>
      <c r="G19" s="455">
        <f t="shared" si="0"/>
        <v>0</v>
      </c>
      <c r="H19" s="456">
        <f t="shared" si="1"/>
        <v>0</v>
      </c>
      <c r="I19" s="444">
        <v>0.1</v>
      </c>
    </row>
    <row r="20" spans="1:9" ht="15.75">
      <c r="A20" s="461"/>
      <c r="B20" s="462"/>
      <c r="C20" s="461"/>
      <c r="D20" s="461"/>
      <c r="E20" s="461"/>
      <c r="F20" s="463"/>
      <c r="G20" s="463"/>
      <c r="H20" s="463"/>
      <c r="I20" s="463"/>
    </row>
    <row r="21" spans="1:9" ht="15.75">
      <c r="A21" s="461"/>
      <c r="B21" s="464" t="s">
        <v>576</v>
      </c>
      <c r="C21" s="465"/>
      <c r="D21" s="465"/>
      <c r="E21" s="465"/>
      <c r="F21" s="460">
        <f>F7+F17+F18+F19</f>
        <v>0</v>
      </c>
      <c r="G21" s="460">
        <f>G7+G17+G18+G19</f>
        <v>0</v>
      </c>
      <c r="H21" s="460">
        <f>H7+H17+H18+H19</f>
        <v>0</v>
      </c>
      <c r="I21" s="460"/>
    </row>
    <row r="22" spans="1:9" ht="14.1" customHeight="1">
      <c r="A22" s="466"/>
      <c r="B22" s="859" t="s">
        <v>577</v>
      </c>
      <c r="C22" s="860"/>
      <c r="D22" s="860"/>
      <c r="E22" s="860"/>
      <c r="F22" s="861">
        <f>ROUND(F21,-3)</f>
        <v>0</v>
      </c>
      <c r="G22" s="861">
        <f>ROUND(G21,-3)</f>
        <v>0</v>
      </c>
      <c r="H22" s="861">
        <f>ROUND(H21,-3)</f>
        <v>0</v>
      </c>
      <c r="I22" s="861"/>
    </row>
    <row r="23" spans="1:9" ht="15.75">
      <c r="A23" s="467"/>
      <c r="B23" s="468"/>
      <c r="C23" s="469"/>
      <c r="D23" s="469"/>
      <c r="E23" s="469"/>
      <c r="F23" s="467"/>
      <c r="G23" s="470"/>
      <c r="H23" s="471"/>
    </row>
  </sheetData>
  <phoneticPr fontId="87" type="noConversion"/>
  <hyperlinks>
    <hyperlink ref="A1" location="Gtb!A1" tooltip="Về bảng tổng hợp dự toán chi phí thiết bị" display="BẢNG TỔNG HỢP CHI PHÍ ĐÀO TẠO CHUYỂN GIAO CÔNG NGHỆ"/>
  </hyperlinks>
  <printOptions horizontalCentered="1"/>
  <pageMargins left="0.75" right="0.25" top="0.75" bottom="0.5" header="0.25" footer="0.25"/>
  <pageSetup paperSize="9" orientation="landscape" horizontalDpi="300" verticalDpi="300" r:id="rId1"/>
  <headerFooter>
    <oddHeader>&amp;L&amp;"+,nghiêng"&amp;10Dự toán GXD - www.giaxaydung.vn</oddHeader>
    <oddFooter>&amp;C&amp;P</oddFooter>
  </headerFooter>
  <ignoredErrors>
    <ignoredError sqref="A2:A3" unlockedFormula="1"/>
  </ignoredErrors>
</worksheet>
</file>

<file path=xl/worksheets/sheet33.xml><?xml version="1.0" encoding="utf-8"?>
<worksheet xmlns="http://schemas.openxmlformats.org/spreadsheetml/2006/main" xmlns:r="http://schemas.openxmlformats.org/officeDocument/2006/relationships">
  <sheetPr codeName="Sheet43">
    <tabColor rgb="FFFFC000"/>
  </sheetPr>
  <dimension ref="A1:I17"/>
  <sheetViews>
    <sheetView showZeros="0" workbookViewId="0">
      <selection activeCell="A3" sqref="A3"/>
    </sheetView>
  </sheetViews>
  <sheetFormatPr defaultRowHeight="15"/>
  <cols>
    <col min="1" max="1" width="4.5703125" customWidth="1"/>
    <col min="2" max="2" width="38.42578125" customWidth="1"/>
    <col min="3" max="3" width="18.7109375" customWidth="1"/>
    <col min="4" max="5" width="16.42578125" customWidth="1"/>
    <col min="6" max="6" width="15.5703125" customWidth="1"/>
    <col min="7" max="7" width="18.140625" customWidth="1"/>
    <col min="8" max="8" width="10.85546875" customWidth="1"/>
  </cols>
  <sheetData>
    <row r="1" spans="1:9" ht="20.25">
      <c r="A1" s="503" t="s">
        <v>179</v>
      </c>
      <c r="B1" s="279"/>
      <c r="C1" s="279"/>
      <c r="D1" s="279"/>
      <c r="E1" s="279"/>
      <c r="F1" s="279"/>
      <c r="G1" s="279"/>
      <c r="H1" s="279"/>
      <c r="I1" s="495"/>
    </row>
    <row r="2" spans="1:9" ht="18.75">
      <c r="A2" s="3" t="str">
        <f>'Bia1'!D42&amp;'Bia1'!E42</f>
        <v>CÔNG TRÌNH: NHÀ BIỆT THỰ GXD</v>
      </c>
      <c r="B2" s="279"/>
      <c r="C2" s="279"/>
      <c r="D2" s="279"/>
      <c r="E2" s="279"/>
      <c r="F2" s="279"/>
      <c r="G2" s="279"/>
      <c r="H2" s="279"/>
      <c r="I2" s="495"/>
    </row>
    <row r="3" spans="1:9" ht="18.75">
      <c r="A3" s="3" t="str">
        <f>'Bia2'!D43&amp;'Bia2'!E43</f>
        <v>HẠNG MỤC: ĐỔI BẢNG MÃ FONT RẤT ĐƠN GIẢN TRONG DỰ TOÁN GXD</v>
      </c>
      <c r="B3" s="279"/>
      <c r="C3" s="279"/>
      <c r="D3" s="279"/>
      <c r="E3" s="279"/>
      <c r="F3" s="279"/>
      <c r="G3" s="279"/>
      <c r="H3" s="279"/>
      <c r="I3" s="495"/>
    </row>
    <row r="4" spans="1:9" ht="15.75">
      <c r="A4" s="28"/>
      <c r="B4" s="28"/>
      <c r="C4" s="28"/>
      <c r="D4" s="28"/>
      <c r="E4" s="28"/>
      <c r="F4" s="28"/>
      <c r="G4" s="28"/>
      <c r="H4" s="888" t="s">
        <v>956</v>
      </c>
      <c r="I4" s="495"/>
    </row>
    <row r="5" spans="1:9" ht="36">
      <c r="A5" s="428" t="s">
        <v>660</v>
      </c>
      <c r="B5" s="849" t="s">
        <v>953</v>
      </c>
      <c r="C5" s="849" t="s">
        <v>954</v>
      </c>
      <c r="D5" s="849" t="s">
        <v>59</v>
      </c>
      <c r="E5" s="849" t="s">
        <v>955</v>
      </c>
      <c r="F5" s="849" t="s">
        <v>952</v>
      </c>
      <c r="G5" s="849" t="s">
        <v>299</v>
      </c>
      <c r="H5" s="849" t="s">
        <v>270</v>
      </c>
      <c r="I5" s="495"/>
    </row>
    <row r="6" spans="1:9" ht="20.100000000000001" customHeight="1">
      <c r="A6" s="496"/>
      <c r="B6" s="497" t="str">
        <f>'Bia2'!E12</f>
        <v>NHÀ BIỆT THỰ GXD</v>
      </c>
      <c r="C6" s="892">
        <f>'Lap dat'!D21</f>
        <v>0</v>
      </c>
      <c r="D6" s="892">
        <f>'Lap dat'!D22</f>
        <v>0</v>
      </c>
      <c r="E6" s="892">
        <f>'Lap dat'!D23</f>
        <v>0</v>
      </c>
      <c r="F6" s="892">
        <f>'Lap dat'!D24</f>
        <v>0</v>
      </c>
      <c r="G6" s="892">
        <f>'Lap dat'!D25</f>
        <v>0</v>
      </c>
      <c r="H6" s="496"/>
      <c r="I6" s="495"/>
    </row>
    <row r="7" spans="1:9">
      <c r="A7" s="498"/>
      <c r="B7" s="884"/>
      <c r="C7" s="893"/>
      <c r="D7" s="893"/>
      <c r="E7" s="893"/>
      <c r="F7" s="894"/>
      <c r="G7" s="894">
        <f t="shared" ref="G7:G11" si="0">SUM(C7:F7)</f>
        <v>0</v>
      </c>
      <c r="H7" s="885"/>
      <c r="I7" s="495"/>
    </row>
    <row r="8" spans="1:9" ht="15.75">
      <c r="A8" s="498"/>
      <c r="B8" s="886"/>
      <c r="C8" s="895"/>
      <c r="D8" s="895"/>
      <c r="E8" s="895"/>
      <c r="F8" s="893"/>
      <c r="G8" s="894">
        <f t="shared" si="0"/>
        <v>0</v>
      </c>
      <c r="H8" s="500"/>
      <c r="I8" s="495"/>
    </row>
    <row r="9" spans="1:9" ht="20.100000000000001" customHeight="1">
      <c r="A9" s="498"/>
      <c r="B9" s="499"/>
      <c r="C9" s="894"/>
      <c r="D9" s="894"/>
      <c r="E9" s="894"/>
      <c r="F9" s="896"/>
      <c r="G9" s="894">
        <f t="shared" si="0"/>
        <v>0</v>
      </c>
      <c r="H9" s="500"/>
      <c r="I9" s="495"/>
    </row>
    <row r="10" spans="1:9" ht="20.100000000000001" customHeight="1">
      <c r="A10" s="498"/>
      <c r="B10" s="499"/>
      <c r="C10" s="894"/>
      <c r="D10" s="894"/>
      <c r="E10" s="894"/>
      <c r="F10" s="896"/>
      <c r="G10" s="894">
        <f t="shared" si="0"/>
        <v>0</v>
      </c>
      <c r="H10" s="500"/>
      <c r="I10" s="495"/>
    </row>
    <row r="11" spans="1:9" ht="15.75">
      <c r="A11" s="498"/>
      <c r="B11" s="501"/>
      <c r="C11" s="897"/>
      <c r="D11" s="897"/>
      <c r="E11" s="897"/>
      <c r="F11" s="896"/>
      <c r="G11" s="894">
        <f t="shared" si="0"/>
        <v>0</v>
      </c>
      <c r="H11" s="500"/>
      <c r="I11" s="495"/>
    </row>
    <row r="12" spans="1:9" ht="15.75">
      <c r="A12" s="428"/>
      <c r="B12" s="847" t="s">
        <v>299</v>
      </c>
      <c r="C12" s="899">
        <f t="shared" ref="C12:F12" si="1">SUM(C6:C11)</f>
        <v>0</v>
      </c>
      <c r="D12" s="899">
        <f t="shared" si="1"/>
        <v>0</v>
      </c>
      <c r="E12" s="899">
        <f t="shared" si="1"/>
        <v>0</v>
      </c>
      <c r="F12" s="899">
        <f t="shared" si="1"/>
        <v>0</v>
      </c>
      <c r="G12" s="899">
        <f>SUM(G6:G11)</f>
        <v>0</v>
      </c>
      <c r="H12" s="887" t="s">
        <v>686</v>
      </c>
      <c r="I12" s="495"/>
    </row>
    <row r="13" spans="1:9">
      <c r="A13" s="495"/>
      <c r="B13" s="495"/>
      <c r="C13" s="495"/>
      <c r="D13" s="495"/>
      <c r="E13" s="495"/>
      <c r="F13" s="495"/>
      <c r="G13" s="495"/>
      <c r="H13" s="495"/>
      <c r="I13" s="495"/>
    </row>
    <row r="14" spans="1:9">
      <c r="A14" s="495"/>
      <c r="B14" s="495"/>
      <c r="C14" s="495"/>
      <c r="D14" s="495"/>
      <c r="E14" s="495"/>
      <c r="F14" s="495"/>
      <c r="G14" s="495"/>
      <c r="H14" s="495"/>
      <c r="I14" s="495"/>
    </row>
    <row r="15" spans="1:9">
      <c r="A15" s="495"/>
      <c r="B15" s="495"/>
      <c r="C15" s="495"/>
      <c r="D15" s="495"/>
      <c r="E15" s="495"/>
      <c r="F15" s="495"/>
      <c r="G15" s="495"/>
      <c r="H15" s="495"/>
      <c r="I15" s="495"/>
    </row>
    <row r="16" spans="1:9">
      <c r="A16" s="495"/>
      <c r="B16" s="495"/>
      <c r="C16" s="495"/>
      <c r="D16" s="495"/>
      <c r="E16" s="495"/>
      <c r="F16" s="495"/>
      <c r="G16" s="495"/>
      <c r="H16" s="495"/>
      <c r="I16" s="495"/>
    </row>
    <row r="17" spans="1:9">
      <c r="A17" s="495"/>
      <c r="B17" s="495"/>
      <c r="C17" s="495"/>
      <c r="D17" s="495"/>
      <c r="E17" s="495"/>
      <c r="F17" s="495"/>
      <c r="G17" s="495"/>
      <c r="H17" s="495"/>
      <c r="I17" s="495"/>
    </row>
  </sheetData>
  <phoneticPr fontId="87" type="noConversion"/>
  <printOptions horizontalCentered="1"/>
  <pageMargins left="0.75" right="0.25" top="0.75" bottom="0.5" header="0.25" footer="0.25"/>
  <pageSetup paperSize="9" orientation="landscape" blackAndWhite="1" horizontalDpi="300" verticalDpi="300" r:id="rId1"/>
  <headerFooter>
    <oddHeader>&amp;L&amp;"+,nghiêng"&amp;10Dự toán GXD - www.giaxaydung.vn</oddHeader>
    <oddFooter>&amp;C&amp;P</oddFooter>
  </headerFooter>
  <ignoredErrors>
    <ignoredError sqref="A2:A3 C12:G12" unlockedFormula="1"/>
  </ignoredErrors>
</worksheet>
</file>

<file path=xl/worksheets/sheet34.xml><?xml version="1.0" encoding="utf-8"?>
<worksheet xmlns="http://schemas.openxmlformats.org/spreadsheetml/2006/main" xmlns:r="http://schemas.openxmlformats.org/officeDocument/2006/relationships">
  <sheetPr codeName="shGld" enableFormatConditionsCalculation="0">
    <tabColor indexed="57"/>
  </sheetPr>
  <dimension ref="A1:G35"/>
  <sheetViews>
    <sheetView showZeros="0" view="pageBreakPreview" zoomScaleNormal="115" zoomScaleSheetLayoutView="100" workbookViewId="0">
      <selection activeCell="D24" sqref="D24"/>
    </sheetView>
  </sheetViews>
  <sheetFormatPr defaultColWidth="9" defaultRowHeight="15.75"/>
  <cols>
    <col min="1" max="1" width="4.42578125" style="28" customWidth="1"/>
    <col min="2" max="2" width="36.28515625" style="28" customWidth="1"/>
    <col min="3" max="3" width="20" style="28" customWidth="1"/>
    <col min="4" max="4" width="16.140625" style="28" customWidth="1"/>
    <col min="5" max="7" width="7.42578125" style="28" bestFit="1" customWidth="1"/>
    <col min="8" max="16384" width="9" style="28"/>
  </cols>
  <sheetData>
    <row r="1" spans="1:7" ht="27.95" customHeight="1">
      <c r="A1" s="490" t="s">
        <v>578</v>
      </c>
      <c r="B1" s="374"/>
      <c r="C1" s="374"/>
      <c r="D1" s="374"/>
      <c r="E1" s="374"/>
    </row>
    <row r="2" spans="1:7" ht="20.100000000000001" customHeight="1">
      <c r="A2" s="3" t="str">
        <f>'Bia1'!D42&amp;'Bia1'!E42</f>
        <v>CÔNG TRÌNH: NHÀ BIỆT THỰ GXD</v>
      </c>
      <c r="B2" s="279"/>
      <c r="C2" s="279"/>
      <c r="D2" s="279"/>
      <c r="E2" s="279"/>
      <c r="F2" s="593"/>
      <c r="G2" s="279"/>
    </row>
    <row r="3" spans="1:7" ht="20.100000000000001" customHeight="1">
      <c r="A3" s="3" t="str">
        <f>'Bia2'!D43&amp;'Bia2'!E43</f>
        <v>HẠNG MỤC: ĐỔI BẢNG MÃ FONT RẤT ĐƠN GIẢN TRONG DỰ TOÁN GXD</v>
      </c>
      <c r="B3" s="279"/>
      <c r="C3" s="279"/>
      <c r="D3" s="279"/>
      <c r="E3" s="279"/>
      <c r="F3" s="593"/>
      <c r="G3" s="279"/>
    </row>
    <row r="4" spans="1:7">
      <c r="E4" s="280" t="s">
        <v>956</v>
      </c>
      <c r="F4" s="280"/>
      <c r="G4" s="280"/>
    </row>
    <row r="5" spans="1:7" ht="14.1" customHeight="1">
      <c r="A5" s="1001" t="s">
        <v>660</v>
      </c>
      <c r="B5" s="1001" t="s">
        <v>268</v>
      </c>
      <c r="C5" s="1001" t="s">
        <v>57</v>
      </c>
      <c r="D5" s="1001" t="s">
        <v>269</v>
      </c>
      <c r="E5" s="1001" t="s">
        <v>270</v>
      </c>
      <c r="F5" s="1001" t="s">
        <v>600</v>
      </c>
      <c r="G5" s="1001" t="s">
        <v>647</v>
      </c>
    </row>
    <row r="6" spans="1:7" ht="18" customHeight="1">
      <c r="A6" s="282"/>
      <c r="B6" s="283" t="s">
        <v>271</v>
      </c>
      <c r="C6" s="282"/>
      <c r="D6" s="284"/>
      <c r="E6" s="282"/>
      <c r="F6" s="282"/>
      <c r="G6" s="282"/>
    </row>
    <row r="7" spans="1:7" ht="18" customHeight="1">
      <c r="A7" s="285"/>
      <c r="B7" s="286" t="s">
        <v>272</v>
      </c>
      <c r="C7" s="285"/>
      <c r="D7" s="287">
        <f>'Dutoan lap dat'!L28+'Dutoan lap dat'!M28</f>
        <v>0</v>
      </c>
      <c r="E7" s="285" t="s">
        <v>273</v>
      </c>
      <c r="F7" s="285"/>
      <c r="G7" s="285"/>
    </row>
    <row r="8" spans="1:7" ht="18" customHeight="1">
      <c r="A8" s="285"/>
      <c r="B8" s="286" t="s">
        <v>274</v>
      </c>
      <c r="C8" s="285"/>
      <c r="D8" s="287"/>
      <c r="E8" s="285" t="s">
        <v>876</v>
      </c>
      <c r="F8" s="285"/>
      <c r="G8" s="285"/>
    </row>
    <row r="9" spans="1:7" ht="18" customHeight="1">
      <c r="A9" s="285"/>
      <c r="B9" s="286" t="s">
        <v>275</v>
      </c>
      <c r="C9" s="285"/>
      <c r="D9" s="287">
        <f>'Dutoan lap dat'!N28</f>
        <v>0</v>
      </c>
      <c r="E9" s="285" t="s">
        <v>659</v>
      </c>
      <c r="F9" s="285"/>
      <c r="G9" s="285"/>
    </row>
    <row r="10" spans="1:7" ht="18" customHeight="1">
      <c r="A10" s="789"/>
      <c r="B10" s="286" t="s">
        <v>855</v>
      </c>
      <c r="C10" s="789"/>
      <c r="D10" s="790"/>
      <c r="E10" s="789" t="s">
        <v>856</v>
      </c>
      <c r="F10" s="789"/>
      <c r="G10" s="789"/>
    </row>
    <row r="11" spans="1:7" ht="18" customHeight="1">
      <c r="A11" s="285"/>
      <c r="B11" s="286" t="s">
        <v>276</v>
      </c>
      <c r="C11" s="285"/>
      <c r="D11" s="287">
        <f>'Dutoan lap dat'!O28</f>
        <v>0</v>
      </c>
      <c r="E11" s="285" t="s">
        <v>277</v>
      </c>
      <c r="F11" s="285"/>
      <c r="G11" s="285"/>
    </row>
    <row r="12" spans="1:7" s="291" customFormat="1" ht="18" customHeight="1">
      <c r="A12" s="285"/>
      <c r="B12" s="286" t="s">
        <v>278</v>
      </c>
      <c r="C12" s="285"/>
      <c r="D12" s="287"/>
      <c r="E12" s="285" t="s">
        <v>279</v>
      </c>
      <c r="F12" s="285"/>
      <c r="G12" s="285"/>
    </row>
    <row r="13" spans="1:7" ht="18" customHeight="1">
      <c r="A13" s="288" t="s">
        <v>173</v>
      </c>
      <c r="B13" s="289" t="s">
        <v>280</v>
      </c>
      <c r="C13" s="285"/>
      <c r="D13" s="287"/>
      <c r="E13" s="285"/>
      <c r="F13" s="285"/>
      <c r="G13" s="285"/>
    </row>
    <row r="14" spans="1:7" ht="18" customHeight="1">
      <c r="A14" s="504">
        <v>1</v>
      </c>
      <c r="B14" s="286" t="s">
        <v>272</v>
      </c>
      <c r="C14" s="285" t="str">
        <f>CPVLgld</f>
        <v>A*1</v>
      </c>
      <c r="D14" s="287">
        <f>IF(F14=0,D7+D8,(D7+D8)*F14)</f>
        <v>0</v>
      </c>
      <c r="E14" s="285" t="s">
        <v>281</v>
      </c>
      <c r="F14" s="285">
        <f>ROUND(Ts!C12,3)</f>
        <v>1</v>
      </c>
      <c r="G14" s="285"/>
    </row>
    <row r="15" spans="1:7" ht="18" customHeight="1">
      <c r="A15" s="504">
        <v>2</v>
      </c>
      <c r="B15" s="286" t="s">
        <v>275</v>
      </c>
      <c r="C15" s="285" t="str">
        <f>CPNCgld</f>
        <v>B*1</v>
      </c>
      <c r="D15" s="287">
        <f>IF(F15=0,D9+D10,IF(D10&lt;&gt;0,IF(G15&lt;&gt;0,D9*F15*G15+D10,D9*F15+D10),IF(G15&lt;&gt;0,D9*F15*G15,D9*F15)))</f>
        <v>0</v>
      </c>
      <c r="E15" s="285" t="s">
        <v>282</v>
      </c>
      <c r="F15" s="285">
        <f>ROUND(Ts!C13,3)</f>
        <v>1</v>
      </c>
      <c r="G15" s="285"/>
    </row>
    <row r="16" spans="1:7" ht="18" customHeight="1">
      <c r="A16" s="504">
        <v>3</v>
      </c>
      <c r="B16" s="286" t="s">
        <v>283</v>
      </c>
      <c r="C16" s="285" t="str">
        <f>CPMTCgld</f>
        <v>C*1</v>
      </c>
      <c r="D16" s="821">
        <f>IF(F16=0,D11+D12,IF(G16&lt;&gt;0,D11*F16*G16+D12,D11*F16+D12))</f>
        <v>0</v>
      </c>
      <c r="E16" s="285" t="s">
        <v>284</v>
      </c>
      <c r="F16" s="285">
        <f>ROUND(Ts!C14,3)</f>
        <v>1</v>
      </c>
      <c r="G16" s="285"/>
    </row>
    <row r="17" spans="1:7" ht="18" customHeight="1">
      <c r="A17" s="504">
        <v>4</v>
      </c>
      <c r="B17" s="286" t="s">
        <v>285</v>
      </c>
      <c r="C17" s="285" t="str">
        <f>"(VL+NC+M)*"&amp;F17&amp;"%"</f>
        <v>(VL+NC+M)*2,5%</v>
      </c>
      <c r="D17" s="292">
        <f>(D14+D15+D16)*F17%</f>
        <v>0</v>
      </c>
      <c r="E17" s="285" t="s">
        <v>9</v>
      </c>
      <c r="F17" s="285">
        <f>Ts!C15</f>
        <v>2.5</v>
      </c>
      <c r="G17" s="285"/>
    </row>
    <row r="18" spans="1:7" s="291" customFormat="1" ht="18" customHeight="1">
      <c r="A18" s="290"/>
      <c r="B18" s="293" t="s">
        <v>286</v>
      </c>
      <c r="C18" s="285" t="s">
        <v>287</v>
      </c>
      <c r="D18" s="292">
        <f>SUM(D14:D17)</f>
        <v>0</v>
      </c>
      <c r="E18" s="285" t="s">
        <v>288</v>
      </c>
      <c r="F18" s="285"/>
      <c r="G18" s="285"/>
    </row>
    <row r="19" spans="1:7" s="291" customFormat="1" ht="18" customHeight="1">
      <c r="A19" s="288" t="s">
        <v>177</v>
      </c>
      <c r="B19" s="289" t="s">
        <v>289</v>
      </c>
      <c r="C19" s="285" t="str">
        <f>"T * "&amp;F19&amp;"%"</f>
        <v>T * 6,5%</v>
      </c>
      <c r="D19" s="292">
        <f>D18*F19%</f>
        <v>0</v>
      </c>
      <c r="E19" s="285" t="s">
        <v>277</v>
      </c>
      <c r="F19" s="285">
        <f>Ts!C16</f>
        <v>6.5</v>
      </c>
      <c r="G19" s="285"/>
    </row>
    <row r="20" spans="1:7" ht="18" customHeight="1">
      <c r="A20" s="288" t="s">
        <v>182</v>
      </c>
      <c r="B20" s="289" t="s">
        <v>290</v>
      </c>
      <c r="C20" s="285" t="str">
        <f>"(T+C) * "&amp;F20&amp;"%"</f>
        <v>(T+C) * 5,5%</v>
      </c>
      <c r="D20" s="292">
        <f>(D18+D19)*F20%</f>
        <v>0</v>
      </c>
      <c r="E20" s="285" t="s">
        <v>186</v>
      </c>
      <c r="F20" s="285">
        <f>Ts!C17</f>
        <v>5.5</v>
      </c>
      <c r="G20" s="285"/>
    </row>
    <row r="21" spans="1:7" s="291" customFormat="1" ht="18" customHeight="1">
      <c r="A21" s="290"/>
      <c r="B21" s="293" t="s">
        <v>579</v>
      </c>
      <c r="C21" s="285" t="s">
        <v>292</v>
      </c>
      <c r="D21" s="294">
        <f>D18+D19+D20</f>
        <v>0</v>
      </c>
      <c r="E21" s="285" t="s">
        <v>293</v>
      </c>
      <c r="F21" s="285"/>
      <c r="G21" s="285"/>
    </row>
    <row r="22" spans="1:7" s="291" customFormat="1" ht="18" customHeight="1">
      <c r="A22" s="288" t="s">
        <v>194</v>
      </c>
      <c r="B22" s="289" t="s">
        <v>294</v>
      </c>
      <c r="C22" s="867" t="s">
        <v>903</v>
      </c>
      <c r="D22" s="292">
        <f>D21*F22%</f>
        <v>0</v>
      </c>
      <c r="E22" s="867" t="s">
        <v>295</v>
      </c>
      <c r="F22" s="285">
        <f>Ts!C18</f>
        <v>10</v>
      </c>
      <c r="G22" s="285"/>
    </row>
    <row r="23" spans="1:7" s="291" customFormat="1" ht="18.75">
      <c r="A23" s="288"/>
      <c r="B23" s="293" t="s">
        <v>580</v>
      </c>
      <c r="C23" s="867" t="s">
        <v>297</v>
      </c>
      <c r="D23" s="294">
        <f>D21+D22</f>
        <v>0</v>
      </c>
      <c r="E23" s="867" t="s">
        <v>180</v>
      </c>
      <c r="F23" s="285"/>
      <c r="G23" s="285"/>
    </row>
    <row r="24" spans="1:7" s="291" customFormat="1" ht="24.75" customHeight="1">
      <c r="A24" s="288" t="s">
        <v>195</v>
      </c>
      <c r="B24" s="472" t="s">
        <v>298</v>
      </c>
      <c r="C24" s="867" t="s">
        <v>904</v>
      </c>
      <c r="D24" s="292">
        <f>D23*F24%</f>
        <v>0</v>
      </c>
      <c r="E24" s="867" t="s">
        <v>598</v>
      </c>
      <c r="F24" s="285">
        <f>Ts!C19</f>
        <v>1</v>
      </c>
      <c r="G24" s="285"/>
    </row>
    <row r="25" spans="1:7" s="306" customFormat="1" ht="18" customHeight="1">
      <c r="A25" s="1057"/>
      <c r="B25" s="1002" t="s">
        <v>299</v>
      </c>
      <c r="C25" s="1003" t="s">
        <v>905</v>
      </c>
      <c r="D25" s="1004">
        <f>D23+D24</f>
        <v>0</v>
      </c>
      <c r="E25" s="1003"/>
      <c r="F25" s="1005"/>
      <c r="G25" s="1005"/>
    </row>
    <row r="26" spans="1:7" s="291" customFormat="1" ht="18" customHeight="1">
      <c r="A26" s="1058"/>
      <c r="B26" s="1006" t="s">
        <v>300</v>
      </c>
      <c r="C26" s="1007"/>
      <c r="D26" s="1004">
        <f>ROUND(D25,-3)</f>
        <v>0</v>
      </c>
      <c r="E26" s="1007"/>
      <c r="F26" s="1007"/>
      <c r="G26" s="1007"/>
    </row>
    <row r="27" spans="1:7">
      <c r="A27" s="1059"/>
      <c r="B27" s="1008"/>
      <c r="C27" s="1009"/>
      <c r="D27" s="1010"/>
      <c r="E27" s="1009"/>
      <c r="F27" s="1009"/>
      <c r="G27" s="1009"/>
    </row>
    <row r="29" spans="1:7" customFormat="1" ht="20.100000000000001" customHeight="1">
      <c r="A29" s="28"/>
      <c r="B29" s="900"/>
      <c r="C29" s="900"/>
      <c r="D29" s="900"/>
      <c r="E29" s="900"/>
      <c r="F29" s="439"/>
      <c r="G29" s="439"/>
    </row>
    <row r="30" spans="1:7" customFormat="1" ht="20.100000000000001" customHeight="1">
      <c r="A30" s="131"/>
      <c r="B30" s="132" t="s">
        <v>70</v>
      </c>
      <c r="C30" s="135" t="s">
        <v>71</v>
      </c>
      <c r="D30" s="374"/>
      <c r="E30" s="473"/>
      <c r="F30" s="473"/>
      <c r="G30" s="473"/>
    </row>
    <row r="31" spans="1:7">
      <c r="A31" s="131"/>
      <c r="B31" s="132"/>
      <c r="C31" s="135"/>
      <c r="D31" s="374"/>
      <c r="E31" s="473"/>
      <c r="F31" s="473"/>
      <c r="G31" s="473"/>
    </row>
    <row r="32" spans="1:7">
      <c r="A32" s="131"/>
      <c r="B32" s="132"/>
      <c r="C32" s="135"/>
      <c r="D32" s="374"/>
      <c r="E32" s="473"/>
      <c r="F32" s="473"/>
      <c r="G32" s="473"/>
    </row>
    <row r="33" spans="3:7">
      <c r="C33" s="135"/>
      <c r="F33" s="473"/>
    </row>
    <row r="34" spans="3:7">
      <c r="C34" s="135"/>
      <c r="F34" s="473"/>
    </row>
    <row r="35" spans="3:7">
      <c r="C35" s="137" t="s">
        <v>72</v>
      </c>
      <c r="D35" s="374"/>
      <c r="E35" s="374"/>
      <c r="F35" s="473"/>
      <c r="G35" s="374"/>
    </row>
  </sheetData>
  <phoneticPr fontId="87" type="noConversion"/>
  <hyperlinks>
    <hyperlink ref="A1" location="Gtb!A1" tooltip="Về bảng tổng hợp dự toán chi phí thiết bị" display="BẢNG TỔNG HỢP DỰ TOÁN CHI PHÍ LẮP ĐẶT THIẾT BỊ"/>
  </hyperlinks>
  <printOptions horizontalCentered="1"/>
  <pageMargins left="0.75" right="0.25" top="0.75" bottom="0.5" header="0.25" footer="0.25"/>
  <pageSetup paperSize="9" orientation="portrait" blackAndWhite="1" horizontalDpi="300" verticalDpi="300" r:id="rId1"/>
  <headerFooter>
    <oddHeader>&amp;L&amp;"+,nghiêng"&amp;10Dự toán GXD - www.giaxaydung.vn</oddHeader>
    <oddFooter>&amp;C&amp;P</oddFooter>
  </headerFooter>
  <ignoredErrors>
    <ignoredError sqref="D23:D24" formula="1"/>
    <ignoredError sqref="A2:A3" unlockedFormula="1"/>
  </ignoredErrors>
</worksheet>
</file>

<file path=xl/worksheets/sheet35.xml><?xml version="1.0" encoding="utf-8"?>
<worksheet xmlns="http://schemas.openxmlformats.org/spreadsheetml/2006/main" xmlns:r="http://schemas.openxmlformats.org/officeDocument/2006/relationships">
  <sheetPr codeName="shDTTB" enableFormatConditionsCalculation="0">
    <tabColor indexed="57"/>
  </sheetPr>
  <dimension ref="A1:AA29"/>
  <sheetViews>
    <sheetView showZeros="0" zoomScale="85" zoomScaleNormal="85" workbookViewId="0">
      <selection activeCell="D8" sqref="D8"/>
    </sheetView>
  </sheetViews>
  <sheetFormatPr defaultColWidth="9" defaultRowHeight="15.75"/>
  <cols>
    <col min="1" max="1" width="3.85546875" style="321" customWidth="1"/>
    <col min="2" max="2" width="7.85546875" style="328" hidden="1" customWidth="1"/>
    <col min="3" max="3" width="10.42578125" style="328" hidden="1" customWidth="1"/>
    <col min="4" max="4" width="10.42578125" style="328" customWidth="1"/>
    <col min="5" max="5" width="29.7109375" style="328" customWidth="1"/>
    <col min="6" max="6" width="6.7109375" style="329" customWidth="1"/>
    <col min="7" max="7" width="8.85546875" style="330" customWidth="1"/>
    <col min="8" max="8" width="12.7109375" style="321" customWidth="1"/>
    <col min="9" max="9" width="10" style="321" hidden="1" customWidth="1"/>
    <col min="10" max="10" width="11.7109375" style="321" customWidth="1"/>
    <col min="11" max="11" width="12.7109375" style="321" customWidth="1"/>
    <col min="12" max="12" width="13.7109375" style="321" customWidth="1"/>
    <col min="13" max="13" width="11.42578125" style="321" hidden="1" customWidth="1"/>
    <col min="14" max="14" width="12.7109375" style="321" customWidth="1"/>
    <col min="15" max="15" width="13.7109375" style="321" customWidth="1"/>
    <col min="16" max="16" width="10.42578125" style="321" hidden="1" customWidth="1"/>
    <col min="17" max="20" width="9" style="330" hidden="1" customWidth="1"/>
    <col min="21" max="22" width="11" style="330" hidden="1" customWidth="1"/>
    <col min="23" max="23" width="12" style="321" hidden="1" customWidth="1"/>
    <col min="24" max="24" width="13.42578125" style="320" customWidth="1"/>
    <col min="25" max="25" width="9" style="320"/>
    <col min="26" max="27" width="13.42578125" style="320" customWidth="1"/>
    <col min="28" max="16384" width="9" style="321"/>
  </cols>
  <sheetData>
    <row r="1" spans="1:27" ht="27.95" customHeight="1">
      <c r="A1" s="2" t="s">
        <v>581</v>
      </c>
      <c r="B1" s="315"/>
      <c r="C1" s="315"/>
      <c r="D1" s="315"/>
      <c r="E1" s="315"/>
      <c r="F1" s="316"/>
      <c r="G1" s="317"/>
      <c r="H1" s="318"/>
      <c r="I1" s="318"/>
      <c r="J1" s="318"/>
      <c r="K1" s="318"/>
      <c r="L1" s="318"/>
      <c r="M1" s="318"/>
      <c r="N1" s="318"/>
      <c r="O1" s="318"/>
      <c r="P1" s="319"/>
      <c r="Q1" s="319"/>
      <c r="R1" s="319"/>
      <c r="S1" s="319"/>
      <c r="T1" s="319"/>
      <c r="U1" s="319"/>
      <c r="V1" s="319"/>
      <c r="W1" s="319"/>
    </row>
    <row r="2" spans="1:27" ht="20.100000000000001" customHeight="1">
      <c r="A2" s="3" t="str">
        <f>'Bia1'!D42&amp;'Bia1'!E42</f>
        <v>CÔNG TRÌNH: NHÀ BIỆT THỰ GXD</v>
      </c>
      <c r="B2" s="322"/>
      <c r="C2" s="322"/>
      <c r="D2" s="322"/>
      <c r="E2" s="322"/>
      <c r="F2" s="323"/>
      <c r="G2" s="324"/>
      <c r="H2" s="325"/>
      <c r="I2" s="325"/>
      <c r="J2" s="325"/>
      <c r="K2" s="325"/>
      <c r="L2" s="325"/>
      <c r="M2" s="325"/>
      <c r="N2" s="325"/>
      <c r="O2" s="325"/>
      <c r="P2" s="326"/>
      <c r="Q2" s="319"/>
      <c r="R2" s="319"/>
      <c r="S2" s="319"/>
      <c r="T2" s="319"/>
      <c r="U2" s="319"/>
      <c r="V2" s="319"/>
      <c r="W2" s="319"/>
    </row>
    <row r="3" spans="1:27" ht="20.100000000000001" customHeight="1">
      <c r="A3" s="3" t="str">
        <f>'Bia2'!D43&amp;'Bia2'!E43</f>
        <v>HẠNG MỤC: ĐỔI BẢNG MÃ FONT RẤT ĐƠN GIẢN TRONG DỰ TOÁN GXD</v>
      </c>
      <c r="B3" s="322"/>
      <c r="C3" s="322"/>
      <c r="D3" s="322"/>
      <c r="E3" s="322"/>
      <c r="F3" s="323"/>
      <c r="G3" s="324"/>
      <c r="H3" s="325"/>
      <c r="I3" s="325"/>
      <c r="J3" s="325"/>
      <c r="K3" s="325"/>
      <c r="L3" s="325"/>
      <c r="M3" s="325"/>
      <c r="N3" s="325"/>
      <c r="O3" s="325"/>
      <c r="P3" s="326"/>
      <c r="Q3" s="319"/>
      <c r="R3" s="319"/>
      <c r="S3" s="319"/>
      <c r="T3" s="319"/>
      <c r="U3" s="319"/>
      <c r="V3" s="319"/>
      <c r="W3" s="319"/>
    </row>
    <row r="4" spans="1:27" ht="15" customHeight="1">
      <c r="A4" s="327"/>
      <c r="O4" s="280" t="s">
        <v>956</v>
      </c>
      <c r="Q4" s="321"/>
      <c r="R4" s="321"/>
      <c r="S4" s="321"/>
      <c r="T4" s="321"/>
      <c r="U4" s="321"/>
      <c r="V4" s="321"/>
    </row>
    <row r="5" spans="1:27" ht="16.5" customHeight="1">
      <c r="A5" s="1392" t="s">
        <v>660</v>
      </c>
      <c r="B5" s="1396" t="s">
        <v>352</v>
      </c>
      <c r="C5" s="1396" t="s">
        <v>641</v>
      </c>
      <c r="D5" s="1394" t="s">
        <v>949</v>
      </c>
      <c r="E5" s="1394" t="s">
        <v>303</v>
      </c>
      <c r="F5" s="1396" t="s">
        <v>304</v>
      </c>
      <c r="G5" s="1394" t="s">
        <v>328</v>
      </c>
      <c r="H5" s="890" t="s">
        <v>305</v>
      </c>
      <c r="I5" s="890"/>
      <c r="J5" s="890"/>
      <c r="K5" s="890"/>
      <c r="L5" s="890" t="s">
        <v>306</v>
      </c>
      <c r="M5" s="890"/>
      <c r="N5" s="890"/>
      <c r="O5" s="890"/>
      <c r="P5" s="1390" t="s">
        <v>307</v>
      </c>
      <c r="Q5" s="879" t="s">
        <v>308</v>
      </c>
      <c r="R5" s="879"/>
      <c r="S5" s="879"/>
      <c r="T5" s="1390" t="s">
        <v>309</v>
      </c>
      <c r="U5" s="1390" t="s">
        <v>310</v>
      </c>
      <c r="V5" s="1390" t="s">
        <v>582</v>
      </c>
      <c r="W5" s="1390" t="s">
        <v>312</v>
      </c>
    </row>
    <row r="6" spans="1:27" ht="16.5" customHeight="1">
      <c r="A6" s="1393"/>
      <c r="B6" s="1397"/>
      <c r="C6" s="1397"/>
      <c r="D6" s="1395"/>
      <c r="E6" s="1395"/>
      <c r="F6" s="1397"/>
      <c r="G6" s="1395"/>
      <c r="H6" s="891" t="s">
        <v>314</v>
      </c>
      <c r="I6" s="891" t="s">
        <v>315</v>
      </c>
      <c r="J6" s="891" t="s">
        <v>316</v>
      </c>
      <c r="K6" s="891" t="s">
        <v>317</v>
      </c>
      <c r="L6" s="891" t="s">
        <v>314</v>
      </c>
      <c r="M6" s="891" t="s">
        <v>315</v>
      </c>
      <c r="N6" s="891" t="s">
        <v>316</v>
      </c>
      <c r="O6" s="891" t="s">
        <v>317</v>
      </c>
      <c r="P6" s="1391"/>
      <c r="Q6" s="845" t="s">
        <v>318</v>
      </c>
      <c r="R6" s="845" t="s">
        <v>319</v>
      </c>
      <c r="S6" s="845" t="s">
        <v>583</v>
      </c>
      <c r="T6" s="1391"/>
      <c r="U6" s="1391"/>
      <c r="V6" s="1391"/>
      <c r="W6" s="1391"/>
    </row>
    <row r="7" spans="1:27" ht="16.5" customHeight="1">
      <c r="A7" s="871" t="s">
        <v>908</v>
      </c>
      <c r="B7" s="871" t="s">
        <v>909</v>
      </c>
      <c r="C7" s="871" t="s">
        <v>910</v>
      </c>
      <c r="D7" s="872" t="s">
        <v>911</v>
      </c>
      <c r="E7" s="872" t="s">
        <v>912</v>
      </c>
      <c r="F7" s="873" t="s">
        <v>913</v>
      </c>
      <c r="G7" s="874" t="s">
        <v>914</v>
      </c>
      <c r="H7" s="875" t="s">
        <v>915</v>
      </c>
      <c r="I7" s="875" t="s">
        <v>916</v>
      </c>
      <c r="J7" s="875" t="s">
        <v>917</v>
      </c>
      <c r="K7" s="875" t="s">
        <v>918</v>
      </c>
      <c r="L7" s="875" t="s">
        <v>919</v>
      </c>
      <c r="M7" s="875" t="s">
        <v>920</v>
      </c>
      <c r="N7" s="875" t="s">
        <v>921</v>
      </c>
      <c r="O7" s="875" t="s">
        <v>922</v>
      </c>
      <c r="P7" s="874" t="s">
        <v>914</v>
      </c>
      <c r="Q7" s="875" t="s">
        <v>915</v>
      </c>
      <c r="R7" s="875" t="s">
        <v>916</v>
      </c>
      <c r="S7" s="875" t="s">
        <v>917</v>
      </c>
      <c r="T7" s="875" t="s">
        <v>918</v>
      </c>
      <c r="U7" s="875" t="s">
        <v>923</v>
      </c>
      <c r="V7" s="875" t="s">
        <v>927</v>
      </c>
      <c r="W7" s="875" t="s">
        <v>928</v>
      </c>
    </row>
    <row r="8" spans="1:27" s="792" customFormat="1">
      <c r="A8" s="475"/>
      <c r="B8" s="476"/>
      <c r="C8" s="476"/>
      <c r="D8" s="889"/>
      <c r="E8" s="762"/>
      <c r="F8" s="477"/>
      <c r="G8" s="334"/>
      <c r="H8" s="333"/>
      <c r="I8" s="333"/>
      <c r="J8" s="333"/>
      <c r="K8" s="333"/>
      <c r="L8" s="333"/>
      <c r="M8" s="333"/>
      <c r="N8" s="333"/>
      <c r="O8" s="333"/>
      <c r="P8" s="333"/>
      <c r="Q8" s="334"/>
      <c r="R8" s="334"/>
      <c r="S8" s="334"/>
      <c r="T8" s="334"/>
      <c r="U8" s="334"/>
      <c r="V8" s="334"/>
      <c r="W8" s="335"/>
      <c r="X8" s="791"/>
      <c r="Y8" s="791"/>
      <c r="Z8" s="791"/>
      <c r="AA8" s="791"/>
    </row>
    <row r="9" spans="1:27">
      <c r="A9" s="475"/>
      <c r="B9" s="476"/>
      <c r="C9" s="476"/>
      <c r="D9" s="478"/>
      <c r="E9" s="762"/>
      <c r="F9" s="477"/>
      <c r="G9" s="334"/>
      <c r="H9" s="333"/>
      <c r="I9" s="333"/>
      <c r="J9" s="333"/>
      <c r="K9" s="333"/>
      <c r="L9" s="333"/>
      <c r="M9" s="333"/>
      <c r="N9" s="333"/>
      <c r="O9" s="333"/>
      <c r="P9" s="333"/>
      <c r="Q9" s="334"/>
      <c r="R9" s="334"/>
      <c r="S9" s="334"/>
      <c r="T9" s="334"/>
      <c r="U9" s="334"/>
      <c r="V9" s="334"/>
      <c r="W9" s="335"/>
    </row>
    <row r="10" spans="1:27">
      <c r="A10" s="475"/>
      <c r="B10" s="476"/>
      <c r="C10" s="476"/>
      <c r="D10" s="478"/>
      <c r="E10" s="763"/>
      <c r="F10" s="477"/>
      <c r="G10" s="479"/>
      <c r="H10" s="333"/>
      <c r="I10" s="333"/>
      <c r="J10" s="333"/>
      <c r="K10" s="333"/>
      <c r="L10" s="333"/>
      <c r="M10" s="333"/>
      <c r="N10" s="333"/>
      <c r="O10" s="333"/>
      <c r="P10" s="333"/>
      <c r="Q10" s="334"/>
      <c r="R10" s="334"/>
      <c r="S10" s="334"/>
      <c r="T10" s="334"/>
      <c r="U10" s="334"/>
      <c r="V10" s="334"/>
      <c r="W10" s="335"/>
    </row>
    <row r="11" spans="1:27">
      <c r="A11" s="475"/>
      <c r="B11" s="476"/>
      <c r="C11" s="476"/>
      <c r="D11" s="478"/>
      <c r="E11" s="764"/>
      <c r="F11" s="477"/>
      <c r="G11" s="334"/>
      <c r="H11" s="333"/>
      <c r="I11" s="333"/>
      <c r="J11" s="333"/>
      <c r="K11" s="333"/>
      <c r="L11" s="333"/>
      <c r="M11" s="333"/>
      <c r="N11" s="333"/>
      <c r="O11" s="333"/>
      <c r="P11" s="333"/>
      <c r="Q11" s="334"/>
      <c r="R11" s="334"/>
      <c r="S11" s="334"/>
      <c r="T11" s="334"/>
      <c r="U11" s="334"/>
      <c r="V11" s="334"/>
      <c r="W11" s="335"/>
    </row>
    <row r="12" spans="1:27">
      <c r="A12" s="475"/>
      <c r="B12" s="476"/>
      <c r="C12" s="476"/>
      <c r="D12" s="474"/>
      <c r="E12" s="762"/>
      <c r="F12" s="477"/>
      <c r="G12" s="334"/>
      <c r="H12" s="333"/>
      <c r="I12" s="333"/>
      <c r="J12" s="333"/>
      <c r="K12" s="333"/>
      <c r="L12" s="333"/>
      <c r="M12" s="333"/>
      <c r="N12" s="333"/>
      <c r="O12" s="333"/>
      <c r="P12" s="333"/>
      <c r="Q12" s="334"/>
      <c r="R12" s="334"/>
      <c r="S12" s="334"/>
      <c r="T12" s="334"/>
      <c r="U12" s="334"/>
      <c r="V12" s="334"/>
      <c r="W12" s="335"/>
    </row>
    <row r="13" spans="1:27">
      <c r="A13" s="475"/>
      <c r="B13" s="476"/>
      <c r="C13" s="476"/>
      <c r="D13" s="474"/>
      <c r="E13" s="762"/>
      <c r="F13" s="477"/>
      <c r="G13" s="334"/>
      <c r="H13" s="333"/>
      <c r="I13" s="333"/>
      <c r="J13" s="333"/>
      <c r="K13" s="333"/>
      <c r="L13" s="333"/>
      <c r="M13" s="333"/>
      <c r="N13" s="333"/>
      <c r="O13" s="333"/>
      <c r="P13" s="333"/>
      <c r="Q13" s="334"/>
      <c r="R13" s="334"/>
      <c r="S13" s="334"/>
      <c r="T13" s="334"/>
      <c r="U13" s="334"/>
      <c r="V13" s="334"/>
      <c r="W13" s="335"/>
    </row>
    <row r="14" spans="1:27">
      <c r="A14" s="475"/>
      <c r="B14" s="476"/>
      <c r="C14" s="476"/>
      <c r="D14" s="474"/>
      <c r="E14" s="762"/>
      <c r="F14" s="477"/>
      <c r="G14" s="334"/>
      <c r="H14" s="333"/>
      <c r="I14" s="333"/>
      <c r="J14" s="333"/>
      <c r="K14" s="333"/>
      <c r="L14" s="333"/>
      <c r="M14" s="333"/>
      <c r="N14" s="333"/>
      <c r="O14" s="333"/>
      <c r="P14" s="333"/>
      <c r="Q14" s="334"/>
      <c r="R14" s="334"/>
      <c r="S14" s="334"/>
      <c r="T14" s="334"/>
      <c r="U14" s="334"/>
      <c r="V14" s="334"/>
      <c r="W14" s="335"/>
    </row>
    <row r="15" spans="1:27">
      <c r="A15" s="475"/>
      <c r="B15" s="476"/>
      <c r="C15" s="476"/>
      <c r="D15" s="474"/>
      <c r="E15" s="762"/>
      <c r="F15" s="477"/>
      <c r="G15" s="334"/>
      <c r="H15" s="333"/>
      <c r="I15" s="333"/>
      <c r="J15" s="333"/>
      <c r="K15" s="333"/>
      <c r="L15" s="333"/>
      <c r="M15" s="333"/>
      <c r="N15" s="333"/>
      <c r="O15" s="333"/>
      <c r="P15" s="333"/>
      <c r="Q15" s="334"/>
      <c r="R15" s="334"/>
      <c r="S15" s="334"/>
      <c r="T15" s="334"/>
      <c r="U15" s="334"/>
      <c r="V15" s="334"/>
      <c r="W15" s="335"/>
    </row>
    <row r="16" spans="1:27">
      <c r="A16" s="475"/>
      <c r="B16" s="476"/>
      <c r="C16" s="476"/>
      <c r="D16" s="474"/>
      <c r="E16" s="762"/>
      <c r="F16" s="477"/>
      <c r="G16" s="334"/>
      <c r="H16" s="333"/>
      <c r="I16" s="333"/>
      <c r="J16" s="333"/>
      <c r="K16" s="333"/>
      <c r="L16" s="333"/>
      <c r="M16" s="333"/>
      <c r="N16" s="333"/>
      <c r="O16" s="333"/>
      <c r="P16" s="333"/>
      <c r="Q16" s="334"/>
      <c r="R16" s="334"/>
      <c r="S16" s="334"/>
      <c r="T16" s="334"/>
      <c r="U16" s="334"/>
      <c r="V16" s="334"/>
      <c r="W16" s="335"/>
    </row>
    <row r="17" spans="1:23">
      <c r="A17" s="475"/>
      <c r="B17" s="476"/>
      <c r="C17" s="476"/>
      <c r="D17" s="474"/>
      <c r="E17" s="762"/>
      <c r="F17" s="477"/>
      <c r="G17" s="334"/>
      <c r="H17" s="333"/>
      <c r="I17" s="333"/>
      <c r="J17" s="333"/>
      <c r="K17" s="333"/>
      <c r="L17" s="333"/>
      <c r="M17" s="333"/>
      <c r="N17" s="333"/>
      <c r="O17" s="333"/>
      <c r="P17" s="333"/>
      <c r="Q17" s="334"/>
      <c r="R17" s="334"/>
      <c r="S17" s="334"/>
      <c r="T17" s="334"/>
      <c r="U17" s="334"/>
      <c r="V17" s="334"/>
      <c r="W17" s="335"/>
    </row>
    <row r="18" spans="1:23">
      <c r="A18" s="475"/>
      <c r="B18" s="476"/>
      <c r="C18" s="476"/>
      <c r="D18" s="474"/>
      <c r="E18" s="762"/>
      <c r="F18" s="477"/>
      <c r="G18" s="334"/>
      <c r="H18" s="333"/>
      <c r="I18" s="333"/>
      <c r="J18" s="333"/>
      <c r="K18" s="333"/>
      <c r="L18" s="333"/>
      <c r="M18" s="333"/>
      <c r="N18" s="333"/>
      <c r="O18" s="333"/>
      <c r="P18" s="333"/>
      <c r="Q18" s="334"/>
      <c r="R18" s="334"/>
      <c r="S18" s="334"/>
      <c r="T18" s="334"/>
      <c r="U18" s="334"/>
      <c r="V18" s="334"/>
      <c r="W18" s="335"/>
    </row>
    <row r="19" spans="1:23">
      <c r="A19" s="475"/>
      <c r="B19" s="476"/>
      <c r="C19" s="476"/>
      <c r="D19" s="474"/>
      <c r="E19" s="765"/>
      <c r="F19" s="477"/>
      <c r="G19" s="334"/>
      <c r="H19" s="333"/>
      <c r="I19" s="333"/>
      <c r="J19" s="333"/>
      <c r="K19" s="333"/>
      <c r="L19" s="333"/>
      <c r="M19" s="333"/>
      <c r="N19" s="333"/>
      <c r="O19" s="333"/>
      <c r="P19" s="333"/>
      <c r="Q19" s="334"/>
      <c r="R19" s="334"/>
      <c r="S19" s="334"/>
      <c r="T19" s="334"/>
      <c r="U19" s="334"/>
      <c r="V19" s="334"/>
      <c r="W19" s="335"/>
    </row>
    <row r="20" spans="1:23">
      <c r="A20" s="475"/>
      <c r="B20" s="476"/>
      <c r="C20" s="476"/>
      <c r="D20" s="474"/>
      <c r="E20" s="762"/>
      <c r="F20" s="477"/>
      <c r="G20" s="334"/>
      <c r="H20" s="333"/>
      <c r="I20" s="333"/>
      <c r="J20" s="333"/>
      <c r="K20" s="333"/>
      <c r="L20" s="333"/>
      <c r="M20" s="333"/>
      <c r="N20" s="333"/>
      <c r="O20" s="333"/>
      <c r="P20" s="333"/>
      <c r="Q20" s="334"/>
      <c r="R20" s="334"/>
      <c r="S20" s="334"/>
      <c r="T20" s="334"/>
      <c r="U20" s="334"/>
      <c r="V20" s="334"/>
      <c r="W20" s="335"/>
    </row>
    <row r="21" spans="1:23">
      <c r="A21" s="475"/>
      <c r="B21" s="476"/>
      <c r="C21" s="476"/>
      <c r="D21" s="474"/>
      <c r="E21" s="762"/>
      <c r="F21" s="477"/>
      <c r="G21" s="334"/>
      <c r="H21" s="333"/>
      <c r="I21" s="333"/>
      <c r="J21" s="333"/>
      <c r="K21" s="333"/>
      <c r="L21" s="333"/>
      <c r="M21" s="333"/>
      <c r="N21" s="333"/>
      <c r="O21" s="333"/>
      <c r="P21" s="333"/>
      <c r="Q21" s="334"/>
      <c r="R21" s="334"/>
      <c r="S21" s="334"/>
      <c r="T21" s="334"/>
      <c r="U21" s="334"/>
      <c r="V21" s="334"/>
      <c r="W21" s="335"/>
    </row>
    <row r="22" spans="1:23">
      <c r="A22" s="475"/>
      <c r="B22" s="476"/>
      <c r="C22" s="476"/>
      <c r="D22" s="474"/>
      <c r="E22" s="762"/>
      <c r="F22" s="477"/>
      <c r="G22" s="334"/>
      <c r="H22" s="333"/>
      <c r="I22" s="333"/>
      <c r="J22" s="333"/>
      <c r="K22" s="333"/>
      <c r="L22" s="333"/>
      <c r="M22" s="333"/>
      <c r="N22" s="333"/>
      <c r="O22" s="333"/>
      <c r="P22" s="333"/>
      <c r="Q22" s="334"/>
      <c r="R22" s="334"/>
      <c r="S22" s="334"/>
      <c r="T22" s="334"/>
      <c r="U22" s="334"/>
      <c r="V22" s="334"/>
      <c r="W22" s="335"/>
    </row>
    <row r="23" spans="1:23">
      <c r="A23" s="475"/>
      <c r="B23" s="476"/>
      <c r="C23" s="476"/>
      <c r="D23" s="474"/>
      <c r="E23" s="762"/>
      <c r="F23" s="477"/>
      <c r="G23" s="334"/>
      <c r="H23" s="333"/>
      <c r="I23" s="333"/>
      <c r="J23" s="333"/>
      <c r="K23" s="333"/>
      <c r="L23" s="333"/>
      <c r="M23" s="333"/>
      <c r="N23" s="333"/>
      <c r="O23" s="333"/>
      <c r="P23" s="333"/>
      <c r="Q23" s="334"/>
      <c r="R23" s="334"/>
      <c r="S23" s="334"/>
      <c r="T23" s="334"/>
      <c r="U23" s="334"/>
      <c r="V23" s="334"/>
      <c r="W23" s="335"/>
    </row>
    <row r="24" spans="1:23">
      <c r="A24" s="475"/>
      <c r="B24" s="476"/>
      <c r="C24" s="476"/>
      <c r="D24" s="474"/>
      <c r="E24" s="762"/>
      <c r="F24" s="477"/>
      <c r="G24" s="334"/>
      <c r="H24" s="333"/>
      <c r="I24" s="333"/>
      <c r="J24" s="333"/>
      <c r="K24" s="333"/>
      <c r="L24" s="333"/>
      <c r="M24" s="333"/>
      <c r="N24" s="333"/>
      <c r="O24" s="333"/>
      <c r="P24" s="333"/>
      <c r="Q24" s="334"/>
      <c r="R24" s="334"/>
      <c r="S24" s="334"/>
      <c r="T24" s="334"/>
      <c r="U24" s="334"/>
      <c r="V24" s="334"/>
      <c r="W24" s="335"/>
    </row>
    <row r="25" spans="1:23">
      <c r="A25" s="475"/>
      <c r="B25" s="476"/>
      <c r="C25" s="476"/>
      <c r="D25" s="474"/>
      <c r="E25" s="762"/>
      <c r="F25" s="477"/>
      <c r="G25" s="334"/>
      <c r="H25" s="333"/>
      <c r="I25" s="333"/>
      <c r="J25" s="333"/>
      <c r="K25" s="333"/>
      <c r="L25" s="333"/>
      <c r="M25" s="333"/>
      <c r="N25" s="333"/>
      <c r="O25" s="333"/>
      <c r="P25" s="333"/>
      <c r="Q25" s="334"/>
      <c r="R25" s="334"/>
      <c r="S25" s="334"/>
      <c r="T25" s="334"/>
      <c r="U25" s="334"/>
      <c r="V25" s="334"/>
      <c r="W25" s="335"/>
    </row>
    <row r="26" spans="1:23">
      <c r="A26" s="475"/>
      <c r="B26" s="476"/>
      <c r="C26" s="476"/>
      <c r="D26" s="474"/>
      <c r="E26" s="762"/>
      <c r="F26" s="477"/>
      <c r="G26" s="334"/>
      <c r="H26" s="333"/>
      <c r="I26" s="333"/>
      <c r="J26" s="333"/>
      <c r="K26" s="333"/>
      <c r="L26" s="333"/>
      <c r="M26" s="333"/>
      <c r="N26" s="333"/>
      <c r="O26" s="333"/>
      <c r="P26" s="333"/>
      <c r="Q26" s="334"/>
      <c r="R26" s="334"/>
      <c r="S26" s="334"/>
      <c r="T26" s="334"/>
      <c r="U26" s="334"/>
      <c r="V26" s="334"/>
      <c r="W26" s="335"/>
    </row>
    <row r="27" spans="1:23">
      <c r="A27" s="475"/>
      <c r="B27" s="476"/>
      <c r="C27" s="476"/>
      <c r="D27" s="474"/>
      <c r="E27" s="762"/>
      <c r="F27" s="477"/>
      <c r="G27" s="334"/>
      <c r="H27" s="333"/>
      <c r="I27" s="333"/>
      <c r="J27" s="333"/>
      <c r="K27" s="333"/>
      <c r="L27" s="333"/>
      <c r="M27" s="333"/>
      <c r="N27" s="333"/>
      <c r="O27" s="333"/>
      <c r="P27" s="333"/>
      <c r="Q27" s="334"/>
      <c r="R27" s="334"/>
      <c r="S27" s="334"/>
      <c r="T27" s="334"/>
      <c r="U27" s="334"/>
      <c r="V27" s="334"/>
      <c r="W27" s="335"/>
    </row>
    <row r="28" spans="1:23">
      <c r="A28" s="1060"/>
      <c r="B28" s="846"/>
      <c r="C28" s="846"/>
      <c r="D28" s="1011" t="s">
        <v>945</v>
      </c>
      <c r="E28" s="1012" t="s">
        <v>946</v>
      </c>
      <c r="F28" s="1013"/>
      <c r="G28" s="1014"/>
      <c r="H28" s="1015"/>
      <c r="I28" s="1015"/>
      <c r="J28" s="1015"/>
      <c r="K28" s="1015"/>
      <c r="L28" s="1016">
        <f>SUM(L8:L27)</f>
        <v>0</v>
      </c>
      <c r="M28" s="1016">
        <f>SUM(M8:M27)</f>
        <v>0</v>
      </c>
      <c r="N28" s="1016">
        <f>SUM(N8:N27)</f>
        <v>0</v>
      </c>
      <c r="O28" s="1016">
        <f>SUM(O8:W27)</f>
        <v>0</v>
      </c>
      <c r="P28" s="480"/>
      <c r="Q28" s="481"/>
      <c r="R28" s="481"/>
      <c r="S28" s="481"/>
      <c r="T28" s="481"/>
      <c r="U28" s="481"/>
      <c r="V28" s="481"/>
      <c r="W28" s="482"/>
    </row>
    <row r="29" spans="1:23">
      <c r="L29" s="349" t="s">
        <v>273</v>
      </c>
      <c r="M29" s="349" t="s">
        <v>645</v>
      </c>
      <c r="N29" s="349" t="s">
        <v>659</v>
      </c>
      <c r="O29" s="349" t="s">
        <v>277</v>
      </c>
    </row>
  </sheetData>
  <mergeCells count="12">
    <mergeCell ref="V5:V6"/>
    <mergeCell ref="W5:W6"/>
    <mergeCell ref="A5:A6"/>
    <mergeCell ref="E5:E6"/>
    <mergeCell ref="F5:F6"/>
    <mergeCell ref="P5:P6"/>
    <mergeCell ref="T5:T6"/>
    <mergeCell ref="U5:U6"/>
    <mergeCell ref="B5:B6"/>
    <mergeCell ref="C5:C6"/>
    <mergeCell ref="D5:D6"/>
    <mergeCell ref="G5:G6"/>
  </mergeCells>
  <phoneticPr fontId="87" type="noConversion"/>
  <conditionalFormatting sqref="X8:AA27">
    <cfRule type="cellIs" dxfId="15" priority="2" stopIfTrue="1" operator="notEqual">
      <formula>H8</formula>
    </cfRule>
  </conditionalFormatting>
  <dataValidations count="3">
    <dataValidation allowBlank="1" showInputMessage="1" showErrorMessage="1" prompt="Gõ tông+cút+1000 sẽ tìm được lắp cút bê tông d1000" sqref="D10"/>
    <dataValidation allowBlank="1" showInputMessage="1" showErrorMessage="1" prompt="Gõ gioăng+su để tìm công tác lắp đặt có gioăng cao su." sqref="D9"/>
    <dataValidation allowBlank="1" showInputMessage="1" showErrorMessage="1" prompt="- Gõ mã hiệu trực tiếp vào. Gõ BA.11111 hoặc BA,11111.&#10;- Gõ BA ấn Enter sẽ gọi danh mục các mã chứa BA.&#10;- Chọn gõ từ khóa có trong tên công việc, kết hợp dấu + hoặc dấu ; để tìm mã công việc. VD: gõ Lắp+cút sẽ ra các công tác có chữ Lắp và chữ cút." sqref="D8"/>
  </dataValidations>
  <hyperlinks>
    <hyperlink ref="A1" location="Gld!A1" tooltip="Về bảng tổng hợp dự toán chi phí lắp đặt thiết bị" display="BẢNG DỰ TOÁN CHI PHÍ LẮP ĐẶT THIẾT BỊ"/>
  </hyperlinks>
  <printOptions horizontalCentered="1"/>
  <pageMargins left="0.75" right="7.8740157480315001E-2" top="0.5" bottom="0.5" header="0.25" footer="0.25"/>
  <pageSetup paperSize="9" orientation="landscape" blackAndWhite="1" horizontalDpi="300" verticalDpi="300" r:id="rId1"/>
  <headerFooter>
    <oddHeader>&amp;L&amp;"+,nghiêng"&amp;10Dự toán GXD - www.giaxaydung.vn</oddHeader>
    <oddFooter>&amp;C&amp;P</oddFooter>
  </headerFooter>
  <ignoredErrors>
    <ignoredError sqref="A2:A3 L28 N28:O28" unlockedFormula="1"/>
  </ignoredErrors>
  <legacyDrawing r:id="rId2"/>
</worksheet>
</file>

<file path=xl/worksheets/sheet36.xml><?xml version="1.0" encoding="utf-8"?>
<worksheet xmlns="http://schemas.openxmlformats.org/spreadsheetml/2006/main" xmlns:r="http://schemas.openxmlformats.org/officeDocument/2006/relationships">
  <sheetPr codeName="shDGCTTB" enableFormatConditionsCalculation="0">
    <tabColor indexed="57"/>
  </sheetPr>
  <dimension ref="A1:Z8"/>
  <sheetViews>
    <sheetView showZeros="0" workbookViewId="0">
      <selection activeCell="E7" sqref="E7"/>
    </sheetView>
  </sheetViews>
  <sheetFormatPr defaultColWidth="9" defaultRowHeight="15.75"/>
  <cols>
    <col min="1" max="1" width="3.85546875" style="39" customWidth="1"/>
    <col min="2" max="2" width="7.5703125" style="39" hidden="1" customWidth="1"/>
    <col min="3" max="3" width="11.5703125" style="39" hidden="1" customWidth="1"/>
    <col min="4" max="4" width="8.5703125" style="358" customWidth="1"/>
    <col min="5" max="5" width="8.5703125" style="614" customWidth="1"/>
    <col min="6" max="6" width="29.5703125" style="612" customWidth="1"/>
    <col min="7" max="7" width="6.5703125" style="359" customWidth="1"/>
    <col min="8" max="8" width="9.28515625" style="512" customWidth="1"/>
    <col min="9" max="9" width="10.42578125" style="367" customWidth="1"/>
    <col min="10" max="10" width="5.28515625" style="513" customWidth="1"/>
    <col min="11" max="11" width="11.28515625" style="367" customWidth="1"/>
    <col min="12" max="12" width="9" style="28" hidden="1" customWidth="1"/>
    <col min="13" max="13" width="8" style="28" hidden="1" customWidth="1"/>
    <col min="14" max="19" width="5.5703125" style="28" customWidth="1"/>
    <col min="20" max="22" width="8" style="28" customWidth="1"/>
    <col min="23" max="16384" width="9" style="28"/>
  </cols>
  <sheetData>
    <row r="1" spans="1:26" ht="27.95" customHeight="1">
      <c r="A1" s="2" t="s">
        <v>602</v>
      </c>
      <c r="B1" s="2"/>
      <c r="C1" s="2"/>
      <c r="D1" s="369"/>
      <c r="E1" s="369"/>
      <c r="F1" s="352"/>
      <c r="G1" s="352"/>
      <c r="H1" s="354"/>
      <c r="I1" s="365"/>
      <c r="J1" s="365"/>
      <c r="K1" s="365"/>
      <c r="N1" s="769" t="s">
        <v>281</v>
      </c>
      <c r="O1" s="769" t="s">
        <v>282</v>
      </c>
      <c r="P1" s="769" t="s">
        <v>284</v>
      </c>
      <c r="Q1" s="769" t="s">
        <v>9</v>
      </c>
      <c r="R1" s="769" t="s">
        <v>277</v>
      </c>
      <c r="S1" s="769" t="s">
        <v>186</v>
      </c>
      <c r="T1" s="769" t="s">
        <v>295</v>
      </c>
      <c r="U1" s="769" t="s">
        <v>831</v>
      </c>
      <c r="V1" s="822" t="s">
        <v>875</v>
      </c>
      <c r="W1" s="822" t="s">
        <v>1102</v>
      </c>
      <c r="X1" s="822" t="s">
        <v>1103</v>
      </c>
      <c r="Y1" s="822" t="s">
        <v>1104</v>
      </c>
      <c r="Z1" s="769" t="s">
        <v>1096</v>
      </c>
    </row>
    <row r="2" spans="1:26" ht="20.100000000000001" customHeight="1">
      <c r="A2" s="3" t="str">
        <f>'Bia1'!D42&amp;'Bia1'!E42</f>
        <v>CÔNG TRÌNH: NHÀ BIỆT THỰ GXD</v>
      </c>
      <c r="B2" s="3"/>
      <c r="C2" s="3"/>
      <c r="D2" s="370"/>
      <c r="E2" s="370"/>
      <c r="F2" s="355"/>
      <c r="G2" s="355"/>
      <c r="H2" s="357"/>
      <c r="I2" s="366"/>
      <c r="J2" s="366"/>
      <c r="K2" s="366"/>
      <c r="N2" s="768">
        <f>'CP xay dung'!F14</f>
        <v>1</v>
      </c>
      <c r="O2" s="768">
        <f>'CP xay dung'!F15</f>
        <v>1</v>
      </c>
      <c r="P2" s="768">
        <f>'CP xay dung'!F16</f>
        <v>1</v>
      </c>
      <c r="Q2" s="768">
        <f>'CP xay dung'!F17</f>
        <v>2.5</v>
      </c>
      <c r="R2" s="768">
        <f>'CP xay dung'!F19</f>
        <v>6.5</v>
      </c>
      <c r="S2" s="768">
        <f>'CP xay dung'!F20</f>
        <v>5.5</v>
      </c>
      <c r="T2" s="768">
        <f>'CP xay dung'!F22</f>
        <v>10</v>
      </c>
      <c r="U2" s="768">
        <f>'CP xay dung'!F24</f>
        <v>1</v>
      </c>
      <c r="V2" s="823">
        <f>Ts!H26*100</f>
        <v>51</v>
      </c>
      <c r="W2" s="823">
        <f>Ts!C20</f>
        <v>5</v>
      </c>
      <c r="X2" s="823">
        <v>5</v>
      </c>
      <c r="Y2" s="823">
        <v>5</v>
      </c>
      <c r="Z2" s="823">
        <v>10</v>
      </c>
    </row>
    <row r="3" spans="1:26" ht="20.100000000000001" customHeight="1">
      <c r="A3" s="3" t="str">
        <f>'Bia2'!D43&amp;'Bia2'!E43</f>
        <v>HẠNG MỤC: ĐỔI BẢNG MÃ FONT RẤT ĐƠN GIẢN TRONG DỰ TOÁN GXD</v>
      </c>
      <c r="B3" s="3"/>
      <c r="C3" s="3"/>
      <c r="D3" s="370"/>
      <c r="E3" s="370"/>
      <c r="F3" s="355"/>
      <c r="G3" s="355"/>
      <c r="H3" s="357"/>
      <c r="I3" s="366"/>
      <c r="J3" s="366"/>
      <c r="K3" s="366"/>
    </row>
    <row r="4" spans="1:26">
      <c r="A4" s="28"/>
      <c r="B4" s="28"/>
      <c r="C4" s="28"/>
      <c r="H4" s="361"/>
      <c r="J4" s="367"/>
      <c r="K4" s="280" t="s">
        <v>956</v>
      </c>
    </row>
    <row r="5" spans="1:26" ht="30" customHeight="1">
      <c r="A5" s="1001" t="s">
        <v>660</v>
      </c>
      <c r="B5" s="1001" t="s">
        <v>352</v>
      </c>
      <c r="C5" s="1017" t="s">
        <v>1043</v>
      </c>
      <c r="D5" s="1017" t="s">
        <v>642</v>
      </c>
      <c r="E5" s="1017" t="s">
        <v>327</v>
      </c>
      <c r="F5" s="1018" t="s">
        <v>644</v>
      </c>
      <c r="G5" s="1018" t="s">
        <v>304</v>
      </c>
      <c r="H5" s="1019" t="s">
        <v>643</v>
      </c>
      <c r="I5" s="1020" t="s">
        <v>305</v>
      </c>
      <c r="J5" s="1021" t="s">
        <v>309</v>
      </c>
      <c r="K5" s="1020" t="s">
        <v>306</v>
      </c>
      <c r="L5" s="850" t="s">
        <v>329</v>
      </c>
    </row>
    <row r="6" spans="1:26">
      <c r="A6" s="872" t="s">
        <v>908</v>
      </c>
      <c r="B6" s="872" t="s">
        <v>909</v>
      </c>
      <c r="C6" s="872" t="s">
        <v>910</v>
      </c>
      <c r="D6" s="872" t="s">
        <v>911</v>
      </c>
      <c r="E6" s="872" t="s">
        <v>912</v>
      </c>
      <c r="F6" s="872" t="s">
        <v>913</v>
      </c>
      <c r="G6" s="872" t="s">
        <v>914</v>
      </c>
      <c r="H6" s="872" t="s">
        <v>915</v>
      </c>
      <c r="I6" s="872" t="s">
        <v>917</v>
      </c>
      <c r="J6" s="872" t="s">
        <v>918</v>
      </c>
      <c r="K6" s="872" t="s">
        <v>923</v>
      </c>
      <c r="L6" s="872" t="s">
        <v>924</v>
      </c>
    </row>
    <row r="7" spans="1:26" s="794" customFormat="1">
      <c r="A7" s="793"/>
      <c r="B7" s="793"/>
      <c r="C7" s="793"/>
      <c r="D7" s="795"/>
      <c r="E7" s="796"/>
      <c r="F7" s="797"/>
      <c r="G7" s="798"/>
      <c r="H7" s="799"/>
      <c r="I7" s="800"/>
      <c r="J7" s="801"/>
      <c r="K7" s="800"/>
    </row>
    <row r="8" spans="1:26">
      <c r="D8" s="510"/>
    </row>
  </sheetData>
  <phoneticPr fontId="87" type="noConversion"/>
  <dataValidations count="12">
    <dataValidation allowBlank="1" showInputMessage="1" showErrorMessage="1" sqref="D6"/>
    <dataValidation allowBlank="1" showInputMessage="1" showErrorMessage="1" prompt="Chi phí nhà tạm tại hiện trường để ở và điều hành thi công. Tỷ lệ 2% đối với các công trình đi theo tuyến, 1% đối với các công trình còn lại. Quy định tại Thông tư 04/2010/TT-BXD." sqref="U1 Z1"/>
    <dataValidation allowBlank="1" showInputMessage="1" showErrorMessage="1" prompt="Mức thuế giá trị gia tăng theo Thông tư số 129/2008/TT- BTC của Bộ Tài chính" sqref="T1"/>
    <dataValidation allowBlank="1" showInputMessage="1" showErrorMessage="1" prompt="Định mức thu nhập chịu thuế tính trước tra bảng 3.8 Thông tư 04/2010/TT-BXD" sqref="S1"/>
    <dataValidation allowBlank="1" showInputMessage="1" showErrorMessage="1" prompt="Định mức chi phí chung tra bảng 3.8 Thông tư 04/2010/TT-BXD" sqref="R1"/>
    <dataValidation allowBlank="1" showInputMessage="1" showErrorMessage="1" prompt="Định mức trực tiếp phí khác tra bảng 3.7 Thông tư 04/2010/TT-BXD" sqref="Q1"/>
    <dataValidation allowBlank="1" showInputMessage="1" showErrorMessage="1" prompt="Hệ số điều chỉnh Máy thi công. Tra trong văn bản hướng dẫn của địa phương nơi xây dựng công trình hoặc của cơ quan có thẩm quyền." sqref="P1"/>
    <dataValidation allowBlank="1" showInputMessage="1" showErrorMessage="1" prompt="Hệ số điều chỉnh Nhân công. Tra trong văn bản hướng dẫn của địa phương nơi xây dựng công trình hoặc của cơ quan có thẩm quyền." sqref="O1"/>
    <dataValidation allowBlank="1" showInputMessage="1" showErrorMessage="1" prompt="Hệ số điều chỉnh vật liệu" sqref="N1"/>
    <dataValidation allowBlank="1" showInputMessage="1" showErrorMessage="1" prompt="Định mức tỷ lệ chi phí chung tính trên chi phí nhân công." sqref="V1:V2"/>
    <dataValidation allowBlank="1" showInputMessage="1" showErrorMessage="1" prompt="Có thể tra vật tư ở đây" sqref="E7"/>
    <dataValidation allowBlank="1" showInputMessage="1" showErrorMessage="1" prompt="Có thể tra mã đơn giá ở đây." sqref="D7"/>
  </dataValidations>
  <hyperlinks>
    <hyperlink ref="A1" location="'Dutoan TB'!A1" tooltip="Về bảng dự toán lắp đặt thiết bị" display="BẢNG PHÂN TÍCH ĐƠN GIÁ CHI TIẾT LẮP ĐẶT THIẾT BỊ"/>
  </hyperlinks>
  <printOptions horizontalCentered="1"/>
  <pageMargins left="0.5" right="0.25" top="0.5" bottom="0.5" header="0.25" footer="0.25"/>
  <pageSetup paperSize="9" orientation="portrait" blackAndWhite="1" horizontalDpi="300" verticalDpi="300" r:id="rId1"/>
  <headerFooter>
    <oddHeader>&amp;L&amp;"+,nghiêng"&amp;10Dự toán GXD - www.giaxaydung.vn</oddHeader>
    <oddFooter>&amp;C&amp;P</oddFooter>
  </headerFooter>
  <ignoredErrors>
    <ignoredError sqref="A2:A3" unlockedFormula="1"/>
  </ignoredErrors>
</worksheet>
</file>

<file path=xl/worksheets/sheet37.xml><?xml version="1.0" encoding="utf-8"?>
<worksheet xmlns="http://schemas.openxmlformats.org/spreadsheetml/2006/main" xmlns:r="http://schemas.openxmlformats.org/officeDocument/2006/relationships">
  <sheetPr codeName="shTHTB" enableFormatConditionsCalculation="0">
    <tabColor indexed="57"/>
  </sheetPr>
  <dimension ref="A1:K7"/>
  <sheetViews>
    <sheetView showZeros="0" zoomScale="85" zoomScaleNormal="85" workbookViewId="0">
      <selection activeCell="B7" sqref="B7"/>
    </sheetView>
  </sheetViews>
  <sheetFormatPr defaultColWidth="9" defaultRowHeight="15.75"/>
  <cols>
    <col min="1" max="1" width="4.85546875" style="39" customWidth="1"/>
    <col min="2" max="2" width="8.5703125" style="508" customWidth="1"/>
    <col min="3" max="3" width="36.7109375" style="612" customWidth="1"/>
    <col min="4" max="4" width="7.28515625" style="359" customWidth="1"/>
    <col min="5" max="5" width="12.5703125" style="360" customWidth="1"/>
    <col min="6" max="6" width="12.42578125" style="367" customWidth="1"/>
    <col min="7" max="7" width="12.5703125" style="367" customWidth="1"/>
    <col min="8" max="8" width="13.5703125" style="367" customWidth="1"/>
    <col min="9" max="9" width="15" style="367" customWidth="1"/>
    <col min="10" max="11" width="9" style="28" hidden="1" customWidth="1"/>
    <col min="12" max="14" width="9" style="28" customWidth="1"/>
    <col min="15" max="16384" width="9" style="28"/>
  </cols>
  <sheetData>
    <row r="1" spans="1:9" ht="27.95" customHeight="1">
      <c r="A1" s="905" t="s">
        <v>601</v>
      </c>
      <c r="B1" s="1259"/>
      <c r="C1" s="374"/>
      <c r="D1" s="374"/>
      <c r="E1" s="1242"/>
      <c r="F1" s="365"/>
      <c r="G1" s="365"/>
      <c r="H1" s="365"/>
      <c r="I1" s="365"/>
    </row>
    <row r="2" spans="1:9" ht="20.100000000000001" customHeight="1">
      <c r="A2" s="3" t="str">
        <f>'Bia1'!D42&amp;'Bia1'!E42</f>
        <v>CÔNG TRÌNH: NHÀ BIỆT THỰ GXD</v>
      </c>
      <c r="B2" s="616"/>
      <c r="C2" s="355"/>
      <c r="D2" s="355"/>
      <c r="E2" s="356"/>
      <c r="F2" s="366"/>
      <c r="G2" s="366"/>
      <c r="H2" s="366"/>
      <c r="I2" s="366"/>
    </row>
    <row r="3" spans="1:9" ht="20.100000000000001" customHeight="1">
      <c r="A3" s="3" t="str">
        <f>'Bia2'!D43&amp;'Bia2'!E43</f>
        <v>HẠNG MỤC: ĐỔI BẢNG MÃ FONT RẤT ĐƠN GIẢN TRONG DỰ TOÁN GXD</v>
      </c>
      <c r="B3" s="616"/>
      <c r="C3" s="355"/>
      <c r="D3" s="355"/>
      <c r="E3" s="356"/>
      <c r="F3" s="366"/>
      <c r="G3" s="366"/>
      <c r="H3" s="366"/>
      <c r="I3" s="366"/>
    </row>
    <row r="4" spans="1:9">
      <c r="A4" s="28"/>
      <c r="I4" s="280" t="s">
        <v>956</v>
      </c>
    </row>
    <row r="5" spans="1:9" ht="36">
      <c r="A5" s="1001" t="s">
        <v>660</v>
      </c>
      <c r="B5" s="1018" t="s">
        <v>327</v>
      </c>
      <c r="C5" s="1018" t="s">
        <v>330</v>
      </c>
      <c r="D5" s="1018" t="s">
        <v>304</v>
      </c>
      <c r="E5" s="1024" t="s">
        <v>328</v>
      </c>
      <c r="F5" s="1020" t="s">
        <v>782</v>
      </c>
      <c r="G5" s="1020" t="s">
        <v>900</v>
      </c>
      <c r="H5" s="1021" t="s">
        <v>331</v>
      </c>
      <c r="I5" s="1021" t="s">
        <v>306</v>
      </c>
    </row>
    <row r="6" spans="1:9">
      <c r="A6" s="1212" t="s">
        <v>908</v>
      </c>
      <c r="B6" s="1211" t="s">
        <v>911</v>
      </c>
      <c r="C6" s="1227" t="s">
        <v>912</v>
      </c>
      <c r="D6" s="1227" t="s">
        <v>913</v>
      </c>
      <c r="E6" s="1232" t="s">
        <v>914</v>
      </c>
      <c r="F6" s="1233" t="s">
        <v>915</v>
      </c>
      <c r="G6" s="1233" t="s">
        <v>917</v>
      </c>
      <c r="H6" s="1233" t="s">
        <v>925</v>
      </c>
      <c r="I6" s="1233" t="s">
        <v>926</v>
      </c>
    </row>
    <row r="7" spans="1:9" s="794" customFormat="1">
      <c r="A7" s="793"/>
      <c r="B7" s="796"/>
      <c r="C7" s="797"/>
      <c r="D7" s="798"/>
      <c r="E7" s="814"/>
      <c r="F7" s="800"/>
      <c r="G7" s="800"/>
      <c r="H7" s="800"/>
      <c r="I7" s="800"/>
    </row>
  </sheetData>
  <phoneticPr fontId="87" type="noConversion"/>
  <conditionalFormatting sqref="G6:G65535">
    <cfRule type="cellIs" dxfId="14" priority="7" stopIfTrue="1" operator="greaterThan">
      <formula>F6</formula>
    </cfRule>
    <cfRule type="cellIs" dxfId="13" priority="8" stopIfTrue="1" operator="lessThan">
      <formula>F6</formula>
    </cfRule>
  </conditionalFormatting>
  <conditionalFormatting sqref="G6">
    <cfRule type="cellIs" dxfId="12" priority="5" stopIfTrue="1" operator="greaterThan">
      <formula>F6</formula>
    </cfRule>
    <cfRule type="cellIs" dxfId="11" priority="6" stopIfTrue="1" operator="lessThan">
      <formula>F6</formula>
    </cfRule>
  </conditionalFormatting>
  <conditionalFormatting sqref="G6">
    <cfRule type="cellIs" dxfId="10" priority="3" stopIfTrue="1" operator="greaterThan">
      <formula>F6</formula>
    </cfRule>
    <cfRule type="cellIs" dxfId="9" priority="4" stopIfTrue="1" operator="lessThan">
      <formula>F6</formula>
    </cfRule>
  </conditionalFormatting>
  <conditionalFormatting sqref="G6">
    <cfRule type="cellIs" dxfId="8" priority="1" stopIfTrue="1" operator="greaterThan">
      <formula>F6</formula>
    </cfRule>
    <cfRule type="cellIs" dxfId="7" priority="2" stopIfTrue="1" operator="lessThan">
      <formula>F6</formula>
    </cfRule>
  </conditionalFormatting>
  <dataValidations count="2">
    <dataValidation allowBlank="1" showInputMessage="1" showErrorMessage="1" sqref="B6"/>
    <dataValidation allowBlank="1" showInputMessage="1" showErrorMessage="1" prompt="Có thể tra vật tư ở đây" sqref="B7"/>
  </dataValidations>
  <printOptions horizontalCentered="1"/>
  <pageMargins left="0.74803149606299213" right="0.23622047244094491" top="0.74803149606299213" bottom="0.51181102362204722" header="0.23622047244094491" footer="0.23622047244094491"/>
  <pageSetup paperSize="9" orientation="landscape" blackAndWhite="1" horizontalDpi="300" verticalDpi="300" r:id="rId1"/>
  <headerFooter>
    <oddHeader>&amp;L&amp;"+,nghiêng"&amp;10Dự toán GXD - www.giaxaydung.vn</oddHeader>
    <oddFooter>&amp;C&amp;P</oddFooter>
  </headerFooter>
  <ignoredErrors>
    <ignoredError sqref="A2:A3" unlockedFormula="1"/>
  </ignoredErrors>
</worksheet>
</file>

<file path=xl/worksheets/sheet38.xml><?xml version="1.0" encoding="utf-8"?>
<worksheet xmlns="http://schemas.openxmlformats.org/spreadsheetml/2006/main" xmlns:r="http://schemas.openxmlformats.org/officeDocument/2006/relationships">
  <sheetPr codeName="shPTVTTB" enableFormatConditionsCalculation="0">
    <tabColor indexed="57"/>
  </sheetPr>
  <dimension ref="A1:I17"/>
  <sheetViews>
    <sheetView showZeros="0" workbookViewId="0">
      <selection activeCell="A2" sqref="A2"/>
    </sheetView>
  </sheetViews>
  <sheetFormatPr defaultColWidth="9" defaultRowHeight="15.75"/>
  <cols>
    <col min="1" max="1" width="3.85546875" style="39" customWidth="1"/>
    <col min="2" max="2" width="6.5703125" style="35" customWidth="1"/>
    <col min="3" max="3" width="56.42578125" style="35" customWidth="1"/>
    <col min="4" max="4" width="7" style="359" customWidth="1"/>
    <col min="5" max="5" width="11.7109375" style="359" customWidth="1"/>
    <col min="6" max="6" width="13.28515625" style="360" customWidth="1"/>
    <col min="7" max="7" width="13.5703125" style="512" customWidth="1"/>
    <col min="8" max="8" width="11.7109375" style="513" customWidth="1"/>
    <col min="9" max="9" width="12.7109375" style="360" customWidth="1"/>
    <col min="10" max="16384" width="9" style="28"/>
  </cols>
  <sheetData>
    <row r="1" spans="1:9" ht="27.95" customHeight="1">
      <c r="A1" s="490" t="s">
        <v>1019</v>
      </c>
      <c r="B1" s="352"/>
      <c r="C1" s="352"/>
      <c r="D1" s="352"/>
      <c r="E1" s="352"/>
      <c r="F1" s="353"/>
      <c r="G1" s="354"/>
      <c r="H1" s="354"/>
      <c r="I1" s="353"/>
    </row>
    <row r="2" spans="1:9" ht="20.100000000000001" customHeight="1">
      <c r="A2" s="3" t="str">
        <f>'Bia1'!D42&amp;'Bia1'!E42</f>
        <v>CÔNG TRÌNH: NHÀ BIỆT THỰ GXD</v>
      </c>
      <c r="B2" s="355"/>
      <c r="C2" s="355"/>
      <c r="D2" s="355"/>
      <c r="E2" s="355"/>
      <c r="F2" s="356"/>
      <c r="G2" s="357"/>
      <c r="H2" s="357"/>
      <c r="I2" s="356"/>
    </row>
    <row r="3" spans="1:9" ht="20.100000000000001" customHeight="1">
      <c r="A3" s="3" t="str">
        <f>'Bia2'!D43&amp;'Bia2'!E43</f>
        <v>HẠNG MỤC: ĐỔI BẢNG MÃ FONT RẤT ĐƠN GIẢN TRONG DỰ TOÁN GXD</v>
      </c>
      <c r="B3" s="355"/>
      <c r="C3" s="355"/>
      <c r="D3" s="355"/>
      <c r="E3" s="355"/>
      <c r="F3" s="356"/>
      <c r="G3" s="357"/>
      <c r="H3" s="357"/>
      <c r="I3" s="356"/>
    </row>
    <row r="4" spans="1:9">
      <c r="A4" s="28"/>
      <c r="G4" s="361"/>
      <c r="H4" s="361"/>
    </row>
    <row r="5" spans="1:9" ht="25.5" customHeight="1">
      <c r="A5" s="1001" t="s">
        <v>660</v>
      </c>
      <c r="B5" s="1022" t="s">
        <v>327</v>
      </c>
      <c r="C5" s="1018" t="s">
        <v>1013</v>
      </c>
      <c r="D5" s="1018" t="s">
        <v>304</v>
      </c>
      <c r="E5" s="1018" t="s">
        <v>328</v>
      </c>
      <c r="F5" s="1023" t="s">
        <v>1016</v>
      </c>
      <c r="G5" s="1019" t="s">
        <v>1014</v>
      </c>
      <c r="H5" s="1019" t="s">
        <v>331</v>
      </c>
      <c r="I5" s="1023" t="s">
        <v>306</v>
      </c>
    </row>
    <row r="6" spans="1:9">
      <c r="A6" s="872" t="s">
        <v>908</v>
      </c>
      <c r="B6" s="872" t="s">
        <v>911</v>
      </c>
      <c r="C6" s="872" t="s">
        <v>912</v>
      </c>
      <c r="D6" s="872" t="s">
        <v>913</v>
      </c>
      <c r="E6" s="872" t="s">
        <v>914</v>
      </c>
      <c r="F6" s="872" t="s">
        <v>915</v>
      </c>
      <c r="G6" s="872" t="s">
        <v>917</v>
      </c>
      <c r="H6" s="872" t="s">
        <v>918</v>
      </c>
      <c r="I6" s="872" t="s">
        <v>923</v>
      </c>
    </row>
    <row r="15" spans="1:9">
      <c r="A15" s="999" t="s">
        <v>127</v>
      </c>
    </row>
    <row r="16" spans="1:9">
      <c r="A16" s="1000" t="s">
        <v>1017</v>
      </c>
    </row>
    <row r="17" spans="1:1">
      <c r="A17" s="1000" t="s">
        <v>1015</v>
      </c>
    </row>
  </sheetData>
  <phoneticPr fontId="87" type="noConversion"/>
  <hyperlinks>
    <hyperlink ref="A1" location="Gxd!A1" tooltip="Về bảng Gxd" display="BẢNG GIÁ TRỊ CHÊNH LỆCH VẬT LIỆU TÍNH VÀO SAU CHI PHÍ XÂY DỰNG TRƯỚC THUẾ"/>
  </hyperlinks>
  <printOptions horizontalCentered="1"/>
  <pageMargins left="0.5" right="0.25" top="0.5" bottom="0.5" header="0.25" footer="0.25"/>
  <pageSetup paperSize="9" orientation="portrait" blackAndWhite="1" horizontalDpi="300" verticalDpi="300" r:id="rId1"/>
  <headerFooter>
    <oddHeader>&amp;L&amp;"+,nghiêng"&amp;10Dự toán GXD - www.giaxaydung.vn</oddHeader>
    <oddFooter>&amp;C&amp;P</oddFooter>
  </headerFooter>
  <ignoredErrors>
    <ignoredError sqref="A2" unlockedFormula="1"/>
  </ignoredErrors>
</worksheet>
</file>

<file path=xl/worksheets/sheet39.xml><?xml version="1.0" encoding="utf-8"?>
<worksheet xmlns="http://schemas.openxmlformats.org/spreadsheetml/2006/main" xmlns:r="http://schemas.openxmlformats.org/officeDocument/2006/relationships">
  <sheetPr codeName="shVLHTTB" enableFormatConditionsCalculation="0">
    <tabColor indexed="17"/>
  </sheetPr>
  <dimension ref="A1:W17"/>
  <sheetViews>
    <sheetView showZeros="0" zoomScale="85" zoomScaleNormal="85" workbookViewId="0">
      <selection activeCell="B8" sqref="B8"/>
    </sheetView>
  </sheetViews>
  <sheetFormatPr defaultColWidth="9" defaultRowHeight="15.75"/>
  <cols>
    <col min="1" max="1" width="3.7109375" style="529" customWidth="1"/>
    <col min="2" max="2" width="8.5703125" style="592" customWidth="1"/>
    <col min="3" max="3" width="18.85546875" style="530" customWidth="1"/>
    <col min="4" max="4" width="4.5703125" style="531" customWidth="1"/>
    <col min="5" max="5" width="11.7109375" style="531" customWidth="1"/>
    <col min="6" max="6" width="6.5703125" style="535" customWidth="1"/>
    <col min="7" max="7" width="6.5703125" style="533" customWidth="1"/>
    <col min="8" max="8" width="4.85546875" style="534" customWidth="1"/>
    <col min="9" max="9" width="6" style="560" customWidth="1"/>
    <col min="10" max="10" width="6.7109375" style="532" customWidth="1"/>
    <col min="11" max="12" width="5.5703125" style="524" customWidth="1"/>
    <col min="13" max="13" width="7.42578125" style="524" customWidth="1"/>
    <col min="14" max="15" width="7.5703125" style="524" customWidth="1"/>
    <col min="16" max="16" width="7.140625" style="524" customWidth="1"/>
    <col min="17" max="17" width="7.42578125" style="524" customWidth="1"/>
    <col min="18" max="18" width="8.5703125" style="535" customWidth="1"/>
    <col min="19" max="19" width="8.42578125" style="524" customWidth="1"/>
    <col min="20" max="20" width="8" style="524" customWidth="1"/>
    <col min="21" max="22" width="11.7109375" style="560" customWidth="1"/>
    <col min="23" max="23" width="9" style="524"/>
    <col min="24" max="16384" width="9" style="46"/>
  </cols>
  <sheetData>
    <row r="1" spans="1:23" s="28" customFormat="1" ht="27.95" customHeight="1">
      <c r="A1" s="2" t="s">
        <v>603</v>
      </c>
      <c r="B1" s="615"/>
      <c r="C1" s="352"/>
      <c r="D1" s="352"/>
      <c r="E1" s="352"/>
      <c r="F1" s="353"/>
      <c r="G1" s="375"/>
      <c r="H1" s="365"/>
      <c r="I1" s="557"/>
      <c r="J1" s="374"/>
      <c r="K1" s="374"/>
      <c r="L1" s="374"/>
      <c r="M1" s="374"/>
      <c r="N1" s="374"/>
      <c r="O1" s="374"/>
      <c r="P1" s="374"/>
      <c r="Q1" s="374"/>
      <c r="R1" s="353"/>
      <c r="S1" s="374"/>
      <c r="T1" s="374"/>
      <c r="U1" s="557"/>
      <c r="V1" s="557"/>
      <c r="W1" s="374"/>
    </row>
    <row r="2" spans="1:23" s="28" customFormat="1" ht="20.100000000000001" customHeight="1">
      <c r="A2" s="3" t="str">
        <f>'Bia1'!D42&amp;'Bia1'!E42</f>
        <v>CÔNG TRÌNH: NHÀ BIỆT THỰ GXD</v>
      </c>
      <c r="B2" s="615"/>
      <c r="C2" s="355"/>
      <c r="D2" s="355"/>
      <c r="E2" s="355"/>
      <c r="F2" s="356"/>
      <c r="G2" s="376"/>
      <c r="H2" s="366"/>
      <c r="I2" s="558"/>
      <c r="J2" s="279"/>
      <c r="K2" s="279"/>
      <c r="L2" s="279"/>
      <c r="M2" s="279"/>
      <c r="N2" s="279"/>
      <c r="O2" s="279"/>
      <c r="P2" s="279"/>
      <c r="Q2" s="279"/>
      <c r="R2" s="356"/>
      <c r="S2" s="279"/>
      <c r="T2" s="279"/>
      <c r="U2" s="558"/>
      <c r="V2" s="558"/>
      <c r="W2" s="279"/>
    </row>
    <row r="3" spans="1:23" s="28" customFormat="1" ht="20.100000000000001" customHeight="1">
      <c r="A3" s="3" t="str">
        <f>'Bia2'!D43&amp;'Bia2'!E43</f>
        <v>HẠNG MỤC: ĐỔI BẢNG MÃ FONT RẤT ĐƠN GIẢN TRONG DỰ TOÁN GXD</v>
      </c>
      <c r="B3" s="615"/>
      <c r="C3" s="355"/>
      <c r="D3" s="355"/>
      <c r="E3" s="355"/>
      <c r="F3" s="356"/>
      <c r="G3" s="376"/>
      <c r="H3" s="366"/>
      <c r="I3" s="558"/>
      <c r="J3" s="279"/>
      <c r="K3" s="279"/>
      <c r="L3" s="279"/>
      <c r="M3" s="279"/>
      <c r="N3" s="279"/>
      <c r="O3" s="279"/>
      <c r="P3" s="279"/>
      <c r="Q3" s="279"/>
      <c r="R3" s="356"/>
      <c r="S3" s="279"/>
      <c r="T3" s="279"/>
      <c r="U3" s="558"/>
      <c r="V3" s="558"/>
      <c r="W3" s="279"/>
    </row>
    <row r="4" spans="1:23" s="28" customFormat="1">
      <c r="B4" s="508"/>
      <c r="C4" s="35"/>
      <c r="D4" s="359"/>
      <c r="E4" s="359"/>
      <c r="F4" s="360"/>
      <c r="G4" s="377"/>
      <c r="H4" s="367"/>
      <c r="I4" s="617"/>
      <c r="R4" s="360"/>
      <c r="U4" s="617"/>
      <c r="V4" s="520" t="s">
        <v>956</v>
      </c>
    </row>
    <row r="5" spans="1:23" s="28" customFormat="1">
      <c r="A5" s="1400" t="s">
        <v>660</v>
      </c>
      <c r="B5" s="1400" t="s">
        <v>327</v>
      </c>
      <c r="C5" s="1400" t="s">
        <v>333</v>
      </c>
      <c r="D5" s="1400" t="s">
        <v>304</v>
      </c>
      <c r="E5" s="1402" t="s">
        <v>328</v>
      </c>
      <c r="F5" s="1398" t="s">
        <v>334</v>
      </c>
      <c r="G5" s="1400" t="s">
        <v>335</v>
      </c>
      <c r="H5" s="1400" t="s">
        <v>336</v>
      </c>
      <c r="I5" s="1404" t="s">
        <v>337</v>
      </c>
      <c r="J5" s="1400" t="s">
        <v>338</v>
      </c>
      <c r="K5" s="1400" t="s">
        <v>339</v>
      </c>
      <c r="L5" s="1400" t="s">
        <v>828</v>
      </c>
      <c r="M5" s="1400" t="s">
        <v>340</v>
      </c>
      <c r="N5" s="1025" t="s">
        <v>341</v>
      </c>
      <c r="O5" s="1026"/>
      <c r="P5" s="1026"/>
      <c r="Q5" s="1026"/>
      <c r="R5" s="1026"/>
      <c r="S5" s="1027"/>
      <c r="T5" s="1400" t="s">
        <v>342</v>
      </c>
      <c r="U5" s="1404" t="s">
        <v>343</v>
      </c>
      <c r="V5" s="1404" t="s">
        <v>344</v>
      </c>
      <c r="W5" s="1400" t="s">
        <v>345</v>
      </c>
    </row>
    <row r="6" spans="1:23" s="28" customFormat="1" ht="56.25" customHeight="1">
      <c r="A6" s="1401"/>
      <c r="B6" s="1401" t="s">
        <v>302</v>
      </c>
      <c r="C6" s="1401"/>
      <c r="D6" s="1401"/>
      <c r="E6" s="1403"/>
      <c r="F6" s="1399"/>
      <c r="G6" s="1401"/>
      <c r="H6" s="1401"/>
      <c r="I6" s="1405"/>
      <c r="J6" s="1401"/>
      <c r="K6" s="1401"/>
      <c r="L6" s="1401"/>
      <c r="M6" s="1401"/>
      <c r="N6" s="1028" t="s">
        <v>346</v>
      </c>
      <c r="O6" s="1028" t="s">
        <v>347</v>
      </c>
      <c r="P6" s="1028" t="s">
        <v>348</v>
      </c>
      <c r="Q6" s="1028" t="s">
        <v>349</v>
      </c>
      <c r="R6" s="1028" t="s">
        <v>350</v>
      </c>
      <c r="S6" s="1028" t="s">
        <v>351</v>
      </c>
      <c r="T6" s="1401"/>
      <c r="U6" s="1405"/>
      <c r="V6" s="1405"/>
      <c r="W6" s="1401"/>
    </row>
    <row r="7" spans="1:23" s="876" customFormat="1" ht="15.95" customHeight="1">
      <c r="A7" s="1213" t="s">
        <v>908</v>
      </c>
      <c r="B7" s="1214" t="s">
        <v>911</v>
      </c>
      <c r="C7" s="1215" t="s">
        <v>912</v>
      </c>
      <c r="D7" s="1215" t="s">
        <v>913</v>
      </c>
      <c r="E7" s="1215" t="s">
        <v>914</v>
      </c>
      <c r="F7" s="1217" t="s">
        <v>915</v>
      </c>
      <c r="G7" s="1218" t="s">
        <v>917</v>
      </c>
      <c r="H7" s="1219" t="s">
        <v>918</v>
      </c>
      <c r="I7" s="1220" t="s">
        <v>923</v>
      </c>
      <c r="J7" s="1218" t="s">
        <v>927</v>
      </c>
      <c r="K7" s="1213" t="s">
        <v>928</v>
      </c>
      <c r="L7" s="1213" t="s">
        <v>929</v>
      </c>
      <c r="M7" s="1222" t="s">
        <v>930</v>
      </c>
      <c r="N7" s="1222" t="s">
        <v>931</v>
      </c>
      <c r="O7" s="1222" t="s">
        <v>932</v>
      </c>
      <c r="P7" s="1222" t="s">
        <v>933</v>
      </c>
      <c r="Q7" s="1222" t="s">
        <v>934</v>
      </c>
      <c r="R7" s="1217" t="s">
        <v>935</v>
      </c>
      <c r="S7" s="1222" t="s">
        <v>936</v>
      </c>
      <c r="T7" s="1222" t="s">
        <v>937</v>
      </c>
      <c r="U7" s="1221" t="s">
        <v>938</v>
      </c>
      <c r="V7" s="1221" t="s">
        <v>939</v>
      </c>
      <c r="W7" s="1222" t="s">
        <v>940</v>
      </c>
    </row>
    <row r="8" spans="1:23" s="794" customFormat="1">
      <c r="A8" s="802"/>
      <c r="B8" s="796"/>
      <c r="C8" s="803"/>
      <c r="D8" s="804"/>
      <c r="E8" s="804"/>
      <c r="F8" s="806"/>
      <c r="G8" s="807"/>
      <c r="H8" s="808"/>
      <c r="I8" s="809"/>
      <c r="J8" s="810"/>
      <c r="K8" s="811"/>
      <c r="L8" s="811"/>
      <c r="M8" s="813"/>
      <c r="N8" s="813"/>
      <c r="O8" s="813"/>
      <c r="P8" s="813"/>
      <c r="Q8" s="813"/>
      <c r="R8" s="806"/>
      <c r="S8" s="813"/>
      <c r="T8" s="813"/>
      <c r="U8" s="812"/>
      <c r="V8" s="812"/>
      <c r="W8" s="813"/>
    </row>
    <row r="9" spans="1:23" s="28" customFormat="1">
      <c r="A9" s="529"/>
      <c r="B9" s="592"/>
      <c r="C9" s="530"/>
      <c r="D9" s="531"/>
      <c r="E9" s="531"/>
      <c r="F9" s="535"/>
      <c r="G9" s="533"/>
      <c r="H9" s="534"/>
      <c r="I9" s="560"/>
      <c r="J9" s="532"/>
      <c r="K9" s="524"/>
      <c r="L9" s="524"/>
      <c r="M9" s="521"/>
      <c r="N9" s="521"/>
      <c r="O9" s="521"/>
      <c r="P9" s="521"/>
      <c r="Q9" s="521"/>
      <c r="R9" s="535"/>
      <c r="S9" s="521"/>
      <c r="T9" s="521"/>
      <c r="U9" s="559"/>
      <c r="V9" s="559"/>
      <c r="W9" s="521"/>
    </row>
    <row r="10" spans="1:23" s="28" customFormat="1">
      <c r="A10" s="529"/>
      <c r="B10" s="592"/>
      <c r="C10" s="530"/>
      <c r="D10" s="531"/>
      <c r="E10" s="531"/>
      <c r="F10" s="535"/>
      <c r="G10" s="533"/>
      <c r="H10" s="534"/>
      <c r="I10" s="560"/>
      <c r="J10" s="532"/>
      <c r="K10" s="524"/>
      <c r="L10" s="524"/>
      <c r="M10" s="521"/>
      <c r="N10" s="521"/>
      <c r="O10" s="521"/>
      <c r="P10" s="521"/>
      <c r="Q10" s="521"/>
      <c r="R10" s="535"/>
      <c r="S10" s="521"/>
      <c r="T10" s="521"/>
      <c r="U10" s="559"/>
      <c r="V10" s="559"/>
      <c r="W10" s="521"/>
    </row>
    <row r="11" spans="1:23" s="28" customFormat="1">
      <c r="A11" s="529"/>
      <c r="B11" s="592"/>
      <c r="C11" s="530"/>
      <c r="D11" s="531"/>
      <c r="E11" s="531"/>
      <c r="F11" s="535"/>
      <c r="G11" s="533"/>
      <c r="H11" s="534"/>
      <c r="I11" s="560"/>
      <c r="J11" s="532"/>
      <c r="K11" s="524"/>
      <c r="L11" s="524"/>
      <c r="M11" s="521"/>
      <c r="N11" s="521"/>
      <c r="O11" s="521"/>
      <c r="P11" s="521"/>
      <c r="Q11" s="521"/>
      <c r="R11" s="535"/>
      <c r="S11" s="521"/>
      <c r="T11" s="521"/>
      <c r="U11" s="559"/>
      <c r="V11" s="559"/>
      <c r="W11" s="521"/>
    </row>
    <row r="12" spans="1:23" s="28" customFormat="1">
      <c r="A12" s="529"/>
      <c r="B12" s="592"/>
      <c r="C12" s="530"/>
      <c r="D12" s="531"/>
      <c r="E12" s="531"/>
      <c r="F12" s="535"/>
      <c r="G12" s="533"/>
      <c r="H12" s="534"/>
      <c r="I12" s="560"/>
      <c r="J12" s="532"/>
      <c r="K12" s="524"/>
      <c r="L12" s="524"/>
      <c r="M12" s="521"/>
      <c r="N12" s="521"/>
      <c r="O12" s="521"/>
      <c r="P12" s="521"/>
      <c r="Q12" s="521"/>
      <c r="R12" s="535"/>
      <c r="S12" s="521"/>
      <c r="T12" s="521"/>
      <c r="U12" s="559"/>
      <c r="V12" s="559"/>
      <c r="W12" s="521"/>
    </row>
    <row r="13" spans="1:23" s="28" customFormat="1">
      <c r="A13" s="522"/>
      <c r="B13" s="592"/>
      <c r="C13" s="530"/>
      <c r="D13" s="531"/>
      <c r="E13" s="531"/>
      <c r="F13" s="535"/>
      <c r="G13" s="533"/>
      <c r="H13" s="534"/>
      <c r="I13" s="560"/>
      <c r="J13" s="532"/>
      <c r="K13" s="524"/>
      <c r="L13" s="524"/>
      <c r="M13" s="521"/>
      <c r="N13" s="521"/>
      <c r="O13" s="521"/>
      <c r="P13" s="521"/>
      <c r="Q13" s="521"/>
      <c r="R13" s="535"/>
      <c r="S13" s="521"/>
      <c r="T13" s="521"/>
      <c r="U13" s="559"/>
      <c r="V13" s="559"/>
      <c r="W13" s="521"/>
    </row>
    <row r="14" spans="1:23" s="28" customFormat="1">
      <c r="A14" s="523"/>
      <c r="B14" s="592"/>
      <c r="C14" s="530"/>
      <c r="D14" s="531"/>
      <c r="E14" s="531"/>
      <c r="F14" s="535"/>
      <c r="G14" s="533"/>
      <c r="H14" s="534"/>
      <c r="I14" s="560"/>
      <c r="J14" s="532"/>
      <c r="K14" s="524"/>
      <c r="L14" s="524"/>
      <c r="M14" s="521"/>
      <c r="N14" s="521"/>
      <c r="O14" s="521"/>
      <c r="P14" s="521"/>
      <c r="Q14" s="521"/>
      <c r="R14" s="535"/>
      <c r="S14" s="521"/>
      <c r="T14" s="521"/>
      <c r="U14" s="559"/>
      <c r="V14" s="559"/>
      <c r="W14" s="521"/>
    </row>
    <row r="15" spans="1:23" s="28" customFormat="1">
      <c r="A15" s="523"/>
      <c r="B15" s="592"/>
      <c r="C15" s="530"/>
      <c r="D15" s="531"/>
      <c r="E15" s="531"/>
      <c r="F15" s="535"/>
      <c r="G15" s="533"/>
      <c r="H15" s="534"/>
      <c r="I15" s="560"/>
      <c r="J15" s="532"/>
      <c r="K15" s="524"/>
      <c r="L15" s="524"/>
      <c r="M15" s="524"/>
      <c r="N15" s="524"/>
      <c r="O15" s="524"/>
      <c r="P15" s="524"/>
      <c r="Q15" s="524"/>
      <c r="R15" s="535"/>
      <c r="S15" s="524"/>
      <c r="T15" s="524"/>
      <c r="U15" s="560"/>
      <c r="V15" s="560"/>
      <c r="W15" s="524"/>
    </row>
    <row r="16" spans="1:23">
      <c r="A16" s="523"/>
    </row>
    <row r="17" spans="1:1">
      <c r="A17" s="523"/>
    </row>
  </sheetData>
  <mergeCells count="17">
    <mergeCell ref="W5:W6"/>
    <mergeCell ref="K5:K6"/>
    <mergeCell ref="M5:M6"/>
    <mergeCell ref="G5:G6"/>
    <mergeCell ref="H5:H6"/>
    <mergeCell ref="I5:I6"/>
    <mergeCell ref="J5:J6"/>
    <mergeCell ref="T5:T6"/>
    <mergeCell ref="U5:U6"/>
    <mergeCell ref="V5:V6"/>
    <mergeCell ref="L5:L6"/>
    <mergeCell ref="F5:F6"/>
    <mergeCell ref="A5:A6"/>
    <mergeCell ref="B5:B6"/>
    <mergeCell ref="C5:C6"/>
    <mergeCell ref="D5:D6"/>
    <mergeCell ref="E5:E6"/>
  </mergeCells>
  <phoneticPr fontId="87" type="noConversion"/>
  <dataValidations count="3">
    <dataValidation allowBlank="1" showInputMessage="1" showErrorMessage="1" prompt="Đổi đơn vị tính cước vận chuyển về phù hợp đơn vị vật liệu" sqref="F5:F6"/>
    <dataValidation allowBlank="1" showInputMessage="1" showErrorMessage="1" sqref="B7"/>
    <dataValidation allowBlank="1" showInputMessage="1" showErrorMessage="1" prompt="Có thể tra vật tư ở đây" sqref="B8"/>
  </dataValidations>
  <hyperlinks>
    <hyperlink ref="A1" location="'DGCT TB'!A1" tooltip="Về bảng đơn giá lắp đặt thiết bị" display="BẢNG TÍNH GIÁ VẬT LIỆU ĐẾN HIỆN TRƯỜNG LẮP ĐẶT THIẾT BỊ"/>
    <hyperlink ref="A2" location="'TH&amp;CLVT TB'!A1" tooltip="Về bảng TH và chênh lệch vật tư" display="'TH&amp;CLVT TB'!A1"/>
  </hyperlinks>
  <printOptions horizontalCentered="1"/>
  <pageMargins left="0.74803149606299213" right="0.23622047244094491" top="0.51181102362204722" bottom="0.51181102362204722" header="0.23622047244094491" footer="0.23622047244094491"/>
  <pageSetup paperSize="9" orientation="landscape" blackAndWhite="1" horizontalDpi="300" verticalDpi="300" r:id="rId1"/>
  <headerFooter>
    <oddHeader>&amp;L&amp;"+,nghiêng"&amp;10Dự toán GXD - www.giaxaydung.vn</oddHeader>
    <oddFooter>&amp;C&amp;P</oddFooter>
  </headerFooter>
  <ignoredErrors>
    <ignoredError sqref="A2:A3" unlockedFormula="1"/>
  </ignoredErrors>
</worksheet>
</file>

<file path=xl/worksheets/sheet4.xml><?xml version="1.0" encoding="utf-8"?>
<worksheet xmlns="http://schemas.openxmlformats.org/spreadsheetml/2006/main" xmlns:r="http://schemas.openxmlformats.org/officeDocument/2006/relationships">
  <sheetPr codeName="Sheet2"/>
  <dimension ref="B1:N189"/>
  <sheetViews>
    <sheetView view="pageBreakPreview" zoomScale="85" zoomScaleNormal="55" zoomScaleSheetLayoutView="85" workbookViewId="0"/>
  </sheetViews>
  <sheetFormatPr defaultColWidth="9" defaultRowHeight="15.75"/>
  <cols>
    <col min="1" max="1" width="4.28515625" style="28" customWidth="1"/>
    <col min="2" max="2" width="8.5703125" style="28" customWidth="1"/>
    <col min="3" max="3" width="15.7109375" style="28" customWidth="1"/>
    <col min="4" max="4" width="16.5703125" style="37" customWidth="1"/>
    <col min="5" max="5" width="12.5703125" style="37" customWidth="1"/>
    <col min="6" max="6" width="14.28515625" style="37" customWidth="1"/>
    <col min="7" max="7" width="16.7109375" style="37" customWidth="1"/>
    <col min="8" max="9" width="9" style="28"/>
    <col min="10" max="10" width="9.42578125" style="28" customWidth="1"/>
    <col min="11" max="11" width="10.42578125" style="28" customWidth="1"/>
    <col min="12" max="16384" width="9" style="28"/>
  </cols>
  <sheetData>
    <row r="1" spans="2:12" ht="21" customHeight="1">
      <c r="C1" s="2" t="s">
        <v>710</v>
      </c>
      <c r="D1" s="27"/>
      <c r="E1" s="27"/>
      <c r="F1" s="27"/>
      <c r="G1" s="27"/>
      <c r="H1" s="27"/>
      <c r="I1" s="27"/>
      <c r="J1" s="27"/>
      <c r="K1" s="27"/>
      <c r="L1" s="27"/>
    </row>
    <row r="2" spans="2:12" ht="21" customHeight="1">
      <c r="C2" s="3" t="str">
        <f>'Bia1'!D42&amp;'Bia1'!E42</f>
        <v>CÔNG TRÌNH: NHÀ BIỆT THỰ GXD</v>
      </c>
      <c r="D2" s="29"/>
      <c r="E2" s="29"/>
      <c r="F2" s="29"/>
      <c r="G2" s="29"/>
      <c r="H2" s="29"/>
      <c r="I2" s="29"/>
      <c r="J2" s="29"/>
      <c r="K2" s="29"/>
      <c r="L2" s="29"/>
    </row>
    <row r="3" spans="2:12" ht="20.100000000000001" customHeight="1">
      <c r="C3" s="3" t="str">
        <f>'Bia1'!D43&amp;'Bia1'!E43</f>
        <v>HẠNG MỤC: ĐỔI BẢNG MÃ FONT RẤT ĐƠN GIẢN TRONG DỰ TOÁN GXD</v>
      </c>
      <c r="D3" s="3"/>
      <c r="E3" s="3"/>
      <c r="F3" s="3"/>
      <c r="G3" s="3"/>
      <c r="H3" s="3"/>
      <c r="I3" s="3"/>
      <c r="J3" s="3"/>
      <c r="K3" s="3"/>
      <c r="L3" s="3"/>
    </row>
    <row r="4" spans="2:12" ht="16.5">
      <c r="C4" s="30"/>
      <c r="D4" s="30"/>
      <c r="E4" s="30"/>
      <c r="F4" s="30"/>
      <c r="G4" s="30"/>
    </row>
    <row r="5" spans="2:12" ht="26.25" customHeight="1">
      <c r="B5" s="39" t="s">
        <v>830</v>
      </c>
      <c r="C5" s="31" t="s">
        <v>711</v>
      </c>
      <c r="D5" s="32"/>
      <c r="E5" s="28"/>
      <c r="F5" s="28"/>
      <c r="G5" s="28"/>
    </row>
    <row r="6" spans="2:12" s="35" customFormat="1" ht="18.75" customHeight="1">
      <c r="C6" s="31" t="s">
        <v>712</v>
      </c>
      <c r="D6" s="33"/>
      <c r="E6" s="33"/>
      <c r="F6" s="33"/>
      <c r="G6" s="33"/>
      <c r="H6" s="34"/>
    </row>
    <row r="7" spans="2:12" s="35" customFormat="1" ht="18" customHeight="1">
      <c r="C7" s="28" t="s">
        <v>713</v>
      </c>
      <c r="D7" s="28"/>
      <c r="E7" s="28"/>
      <c r="F7" s="28"/>
      <c r="G7" s="28"/>
      <c r="H7" s="36"/>
      <c r="I7" s="28"/>
      <c r="J7" s="28"/>
      <c r="K7" s="28"/>
      <c r="L7" s="28"/>
    </row>
    <row r="8" spans="2:12" s="35" customFormat="1" ht="18" customHeight="1">
      <c r="C8" s="28" t="s">
        <v>714</v>
      </c>
      <c r="D8" s="28"/>
      <c r="E8" s="28"/>
      <c r="F8" s="28"/>
      <c r="G8" s="28"/>
      <c r="H8" s="34"/>
    </row>
    <row r="9" spans="2:12" s="35" customFormat="1" ht="18" customHeight="1">
      <c r="C9" s="28" t="s">
        <v>650</v>
      </c>
      <c r="D9" s="28"/>
      <c r="E9" s="28"/>
      <c r="F9" s="28"/>
      <c r="G9" s="28"/>
      <c r="H9" s="34"/>
    </row>
    <row r="10" spans="2:12" s="35" customFormat="1">
      <c r="C10" s="1292" t="s">
        <v>715</v>
      </c>
      <c r="D10" s="1292"/>
      <c r="E10" s="1292"/>
      <c r="F10" s="1292"/>
      <c r="G10" s="1292"/>
      <c r="H10" s="1293"/>
      <c r="I10" s="1293"/>
      <c r="J10" s="1293"/>
      <c r="K10" s="1293"/>
      <c r="L10" s="1293"/>
    </row>
    <row r="11" spans="2:12" s="35" customFormat="1" ht="58.5" customHeight="1">
      <c r="C11" s="1292" t="s">
        <v>716</v>
      </c>
      <c r="D11" s="1295"/>
      <c r="E11" s="1295"/>
      <c r="F11" s="1295"/>
      <c r="G11" s="1295"/>
      <c r="H11" s="1295"/>
      <c r="I11" s="1295"/>
      <c r="J11" s="1295"/>
      <c r="K11" s="1295"/>
      <c r="L11" s="1295"/>
    </row>
    <row r="12" spans="2:12" s="35" customFormat="1" ht="18" customHeight="1">
      <c r="C12" s="28" t="s">
        <v>717</v>
      </c>
      <c r="D12" s="28"/>
      <c r="E12" s="28"/>
      <c r="F12" s="28"/>
      <c r="G12" s="28"/>
    </row>
    <row r="13" spans="2:12" s="35" customFormat="1" ht="18" customHeight="1">
      <c r="C13" s="28" t="s">
        <v>718</v>
      </c>
      <c r="D13" s="28"/>
      <c r="E13" s="28"/>
      <c r="F13" s="28"/>
      <c r="G13" s="28"/>
      <c r="H13" s="1"/>
    </row>
    <row r="14" spans="2:12" s="35" customFormat="1" ht="18" customHeight="1">
      <c r="C14" s="28" t="s">
        <v>719</v>
      </c>
      <c r="D14" s="28"/>
      <c r="E14" s="28"/>
      <c r="F14" s="28"/>
      <c r="G14" s="28"/>
      <c r="H14" s="1"/>
    </row>
    <row r="15" spans="2:12" s="35" customFormat="1" ht="18" customHeight="1">
      <c r="C15" s="28" t="s">
        <v>720</v>
      </c>
      <c r="D15" s="1"/>
      <c r="E15" s="1"/>
      <c r="F15" s="1"/>
      <c r="G15" s="1"/>
      <c r="H15" s="1"/>
    </row>
    <row r="16" spans="2:12" s="35" customFormat="1" ht="18.75" customHeight="1">
      <c r="C16" s="31"/>
      <c r="D16" s="33"/>
      <c r="E16" s="33"/>
      <c r="F16" s="33"/>
      <c r="G16" s="33"/>
      <c r="H16" s="34"/>
    </row>
    <row r="17" spans="3:8" s="35" customFormat="1" ht="18" customHeight="1">
      <c r="C17" s="31" t="s">
        <v>721</v>
      </c>
      <c r="D17" s="28"/>
      <c r="E17" s="28"/>
      <c r="F17" s="28"/>
      <c r="G17" s="28"/>
      <c r="H17" s="34"/>
    </row>
    <row r="18" spans="3:8" s="35" customFormat="1" ht="18" customHeight="1">
      <c r="C18" s="28" t="s">
        <v>648</v>
      </c>
      <c r="D18" s="28"/>
      <c r="E18" s="28"/>
      <c r="F18" s="28"/>
      <c r="G18" s="28"/>
      <c r="H18" s="34"/>
    </row>
    <row r="19" spans="3:8" s="35" customFormat="1">
      <c r="C19" s="28" t="s">
        <v>649</v>
      </c>
      <c r="D19" s="1"/>
      <c r="E19" s="1"/>
      <c r="F19" s="1"/>
      <c r="G19" s="1"/>
      <c r="H19" s="34"/>
    </row>
    <row r="20" spans="3:8" s="35" customFormat="1" ht="18.75" customHeight="1">
      <c r="C20" s="31"/>
      <c r="D20" s="33"/>
      <c r="E20" s="33"/>
      <c r="F20" s="33"/>
      <c r="G20" s="33"/>
      <c r="H20" s="34"/>
    </row>
    <row r="21" spans="3:8" s="35" customFormat="1" ht="18" customHeight="1">
      <c r="C21" s="31" t="s">
        <v>722</v>
      </c>
      <c r="D21" s="28"/>
      <c r="E21" s="28"/>
      <c r="F21" s="28"/>
      <c r="G21" s="28"/>
      <c r="H21" s="34"/>
    </row>
    <row r="22" spans="3:8" s="35" customFormat="1" ht="18" customHeight="1">
      <c r="C22" s="28" t="s">
        <v>723</v>
      </c>
      <c r="D22" s="28"/>
      <c r="E22" s="28"/>
      <c r="F22" s="28"/>
      <c r="G22" s="28"/>
      <c r="H22" s="34"/>
    </row>
    <row r="23" spans="3:8" s="35" customFormat="1" ht="18" customHeight="1">
      <c r="C23" s="28" t="s">
        <v>0</v>
      </c>
      <c r="D23" s="28"/>
      <c r="E23" s="28"/>
      <c r="F23" s="28"/>
      <c r="G23" s="28"/>
      <c r="H23" s="34"/>
    </row>
    <row r="24" spans="3:8" s="35" customFormat="1">
      <c r="C24" s="28" t="s">
        <v>1</v>
      </c>
      <c r="D24" s="1"/>
      <c r="E24" s="1"/>
      <c r="F24" s="1"/>
      <c r="G24" s="1"/>
      <c r="H24" s="34"/>
    </row>
    <row r="25" spans="3:8" ht="21.95" customHeight="1">
      <c r="C25" s="1294"/>
      <c r="D25" s="1294"/>
      <c r="E25" s="28"/>
      <c r="F25" s="1294"/>
      <c r="G25" s="1294"/>
    </row>
    <row r="26" spans="3:8" s="35" customFormat="1" ht="21.95" customHeight="1">
      <c r="C26" s="28"/>
      <c r="D26" s="767" t="s">
        <v>829</v>
      </c>
      <c r="E26" s="1296">
        <f ca="1">'Tong hop kinh phi'!G17</f>
        <v>128536000</v>
      </c>
      <c r="F26" s="1297"/>
      <c r="G26" s="487" t="s">
        <v>703</v>
      </c>
    </row>
    <row r="27" spans="3:8" s="38" customFormat="1" ht="21.95" customHeight="1">
      <c r="C27" s="28"/>
      <c r="D27" s="24" t="str">
        <f>"(Bằng chữ: "&amp;vnd(F44)&amp;")"</f>
        <v>(Bằng chữ: )</v>
      </c>
      <c r="E27" s="37"/>
      <c r="F27" s="37"/>
      <c r="G27" s="37"/>
    </row>
    <row r="28" spans="3:8" s="35" customFormat="1" ht="21.95" customHeight="1">
      <c r="C28" s="28"/>
      <c r="D28" s="37"/>
      <c r="E28" s="37"/>
      <c r="F28" s="37"/>
      <c r="G28" s="37"/>
    </row>
    <row r="29" spans="3:8" s="35" customFormat="1" ht="21.95" customHeight="1">
      <c r="C29" s="28"/>
      <c r="D29" s="37"/>
      <c r="E29" s="37"/>
      <c r="F29" s="37"/>
      <c r="G29" s="37"/>
    </row>
    <row r="30" spans="3:8" s="35" customFormat="1" ht="21.95" customHeight="1">
      <c r="C30" s="28"/>
      <c r="D30" s="37"/>
      <c r="E30" s="37"/>
      <c r="F30" s="37"/>
      <c r="G30" s="37"/>
    </row>
    <row r="31" spans="3:8" ht="21.95" customHeight="1"/>
    <row r="32" spans="3:8" ht="21.95" customHeight="1"/>
    <row r="33" spans="3:7" ht="21.95" customHeight="1"/>
    <row r="34" spans="3:7" ht="21.95" customHeight="1"/>
    <row r="35" spans="3:7" s="26" customFormat="1" ht="21.95" customHeight="1">
      <c r="C35" s="28"/>
      <c r="D35" s="37"/>
      <c r="E35" s="37"/>
      <c r="F35" s="37"/>
      <c r="G35" s="37"/>
    </row>
    <row r="36" spans="3:7" s="26" customFormat="1" ht="21.95" customHeight="1">
      <c r="C36" s="28"/>
      <c r="D36" s="37"/>
      <c r="E36" s="37"/>
      <c r="F36" s="37"/>
      <c r="G36" s="37"/>
    </row>
    <row r="37" spans="3:7" s="26" customFormat="1" ht="21.95" customHeight="1">
      <c r="C37" s="28"/>
      <c r="D37" s="37"/>
      <c r="E37" s="37"/>
      <c r="F37" s="37"/>
      <c r="G37" s="37"/>
    </row>
    <row r="38" spans="3:7" ht="21.95" customHeight="1"/>
    <row r="39" spans="3:7" s="26" customFormat="1" ht="21.95" customHeight="1">
      <c r="C39" s="28"/>
      <c r="D39" s="37"/>
      <c r="E39" s="37"/>
      <c r="F39" s="37"/>
      <c r="G39" s="37"/>
    </row>
    <row r="40" spans="3:7" s="26" customFormat="1" ht="21.95" customHeight="1">
      <c r="C40" s="28"/>
      <c r="D40" s="37"/>
      <c r="E40" s="37"/>
      <c r="F40" s="37"/>
      <c r="G40" s="37"/>
    </row>
    <row r="41" spans="3:7" s="26" customFormat="1" ht="16.5">
      <c r="C41" s="28"/>
      <c r="D41" s="37"/>
      <c r="E41" s="37"/>
      <c r="F41" s="37"/>
      <c r="G41" s="37"/>
    </row>
    <row r="42" spans="3:7" s="26" customFormat="1" ht="16.5">
      <c r="C42" s="28"/>
      <c r="D42" s="37"/>
      <c r="E42" s="37"/>
      <c r="F42" s="37"/>
      <c r="G42" s="37"/>
    </row>
    <row r="43" spans="3:7" s="26" customFormat="1" ht="16.5">
      <c r="C43" s="28"/>
      <c r="D43" s="37"/>
      <c r="E43" s="37"/>
      <c r="F43" s="37"/>
      <c r="G43" s="37"/>
    </row>
    <row r="44" spans="3:7" s="26" customFormat="1" ht="15.75" customHeight="1">
      <c r="C44" s="28"/>
      <c r="D44" s="37"/>
      <c r="E44" s="37"/>
      <c r="F44" s="37"/>
      <c r="G44" s="37"/>
    </row>
    <row r="45" spans="3:7" ht="15.75" customHeight="1"/>
    <row r="46" spans="3:7" s="26" customFormat="1" ht="15.75" customHeight="1">
      <c r="C46" s="28"/>
      <c r="D46" s="37"/>
      <c r="E46" s="37"/>
      <c r="F46" s="37"/>
      <c r="G46" s="37"/>
    </row>
    <row r="47" spans="3:7" s="26" customFormat="1" ht="15.75" customHeight="1">
      <c r="C47" s="28"/>
      <c r="D47" s="37"/>
      <c r="E47" s="37"/>
      <c r="F47" s="37"/>
      <c r="G47" s="37"/>
    </row>
    <row r="48" spans="3:7" ht="15.75" customHeight="1"/>
    <row r="49" spans="3:14" ht="15.75" customHeight="1">
      <c r="K49" s="39"/>
      <c r="L49" s="40"/>
      <c r="M49" s="39"/>
      <c r="N49" s="41"/>
    </row>
    <row r="50" spans="3:14" ht="15.75" customHeight="1">
      <c r="K50" s="39"/>
      <c r="L50" s="40"/>
      <c r="M50" s="39"/>
      <c r="N50" s="41"/>
    </row>
    <row r="51" spans="3:14" s="26" customFormat="1" ht="16.5">
      <c r="C51" s="28"/>
      <c r="D51" s="37"/>
      <c r="E51" s="37"/>
      <c r="F51" s="37"/>
      <c r="G51" s="37"/>
    </row>
    <row r="52" spans="3:14" s="26" customFormat="1" ht="16.5">
      <c r="C52" s="28"/>
      <c r="D52" s="37"/>
      <c r="E52" s="37"/>
      <c r="F52" s="37"/>
      <c r="G52" s="37"/>
    </row>
    <row r="53" spans="3:14" s="26" customFormat="1" ht="16.5">
      <c r="C53" s="28"/>
      <c r="D53" s="37"/>
      <c r="E53" s="37"/>
      <c r="F53" s="37"/>
      <c r="G53" s="37"/>
    </row>
    <row r="54" spans="3:14" s="26" customFormat="1" ht="16.5">
      <c r="C54" s="28"/>
      <c r="D54" s="37"/>
      <c r="E54" s="37"/>
      <c r="F54" s="37"/>
      <c r="G54" s="37"/>
    </row>
    <row r="58" spans="3:14" s="26" customFormat="1" ht="16.5">
      <c r="C58" s="28"/>
      <c r="D58" s="37"/>
      <c r="E58" s="37"/>
      <c r="F58" s="37"/>
      <c r="G58" s="37"/>
    </row>
    <row r="60" spans="3:14" s="26" customFormat="1" ht="16.5">
      <c r="C60" s="28"/>
      <c r="D60" s="37"/>
      <c r="E60" s="37"/>
      <c r="F60" s="37"/>
      <c r="G60" s="37"/>
    </row>
    <row r="61" spans="3:14" s="26" customFormat="1" ht="16.5">
      <c r="C61" s="28"/>
      <c r="D61" s="37"/>
      <c r="E61" s="37"/>
      <c r="F61" s="37"/>
      <c r="G61" s="37"/>
    </row>
    <row r="63" spans="3:14" s="26" customFormat="1" ht="16.5">
      <c r="C63" s="28"/>
      <c r="D63" s="37"/>
      <c r="E63" s="37"/>
      <c r="F63" s="37"/>
      <c r="G63" s="37"/>
    </row>
    <row r="64" spans="3:14" s="26" customFormat="1" ht="16.5">
      <c r="C64" s="28"/>
      <c r="D64" s="37"/>
      <c r="E64" s="37"/>
      <c r="F64" s="37"/>
      <c r="G64" s="37"/>
    </row>
    <row r="65" spans="3:7" s="26" customFormat="1" ht="16.5">
      <c r="C65" s="28"/>
      <c r="D65" s="37"/>
      <c r="E65" s="37"/>
      <c r="F65" s="37"/>
      <c r="G65" s="37"/>
    </row>
    <row r="67" spans="3:7" ht="11.25" customHeight="1"/>
    <row r="68" spans="3:7" s="26" customFormat="1" ht="16.5">
      <c r="C68" s="28"/>
      <c r="D68" s="37"/>
      <c r="E68" s="37"/>
      <c r="F68" s="37"/>
      <c r="G68" s="37"/>
    </row>
    <row r="69" spans="3:7" s="26" customFormat="1" ht="16.5">
      <c r="C69" s="28"/>
      <c r="D69" s="37"/>
      <c r="E69" s="37"/>
      <c r="F69" s="37"/>
      <c r="G69" s="37"/>
    </row>
    <row r="70" spans="3:7" s="26" customFormat="1" ht="15.75" customHeight="1">
      <c r="C70" s="28"/>
      <c r="D70" s="37"/>
      <c r="E70" s="37"/>
      <c r="F70" s="37"/>
      <c r="G70" s="37"/>
    </row>
    <row r="71" spans="3:7" s="26" customFormat="1" ht="16.5">
      <c r="C71" s="28"/>
      <c r="D71" s="37"/>
      <c r="E71" s="37"/>
      <c r="F71" s="37"/>
      <c r="G71" s="37"/>
    </row>
    <row r="72" spans="3:7" s="26" customFormat="1" ht="16.5">
      <c r="C72" s="28"/>
      <c r="D72" s="37"/>
      <c r="E72" s="37"/>
      <c r="F72" s="37"/>
      <c r="G72" s="37"/>
    </row>
    <row r="73" spans="3:7" s="26" customFormat="1" ht="16.5">
      <c r="C73" s="28"/>
      <c r="D73" s="37"/>
      <c r="E73" s="37"/>
      <c r="F73" s="37"/>
      <c r="G73" s="37"/>
    </row>
    <row r="74" spans="3:7" s="26" customFormat="1" ht="16.5">
      <c r="C74" s="28"/>
      <c r="D74" s="37"/>
      <c r="E74" s="37"/>
      <c r="F74" s="37"/>
      <c r="G74" s="37"/>
    </row>
    <row r="75" spans="3:7" s="26" customFormat="1" ht="16.5">
      <c r="C75" s="28"/>
      <c r="D75" s="37"/>
      <c r="E75" s="37"/>
      <c r="F75" s="37"/>
      <c r="G75" s="37"/>
    </row>
    <row r="76" spans="3:7" s="26" customFormat="1" ht="16.5">
      <c r="C76" s="28"/>
      <c r="D76" s="37"/>
      <c r="E76" s="37"/>
      <c r="F76" s="37"/>
      <c r="G76" s="37"/>
    </row>
    <row r="77" spans="3:7" s="26" customFormat="1" ht="19.5" customHeight="1">
      <c r="C77" s="28"/>
      <c r="D77" s="37"/>
      <c r="E77" s="37"/>
      <c r="F77" s="37"/>
      <c r="G77" s="37"/>
    </row>
    <row r="78" spans="3:7" s="26" customFormat="1" ht="19.5" customHeight="1">
      <c r="C78" s="28"/>
      <c r="D78" s="37"/>
      <c r="E78" s="37"/>
      <c r="F78" s="37"/>
      <c r="G78" s="37"/>
    </row>
    <row r="79" spans="3:7" s="26" customFormat="1" ht="19.5" customHeight="1">
      <c r="C79" s="28"/>
      <c r="D79" s="37"/>
      <c r="E79" s="37"/>
      <c r="F79" s="37"/>
      <c r="G79" s="37"/>
    </row>
    <row r="80" spans="3:7" s="26" customFormat="1" ht="16.5">
      <c r="C80" s="28"/>
      <c r="D80" s="37"/>
      <c r="E80" s="37"/>
      <c r="F80" s="37"/>
      <c r="G80" s="37"/>
    </row>
    <row r="81" spans="3:7" s="26" customFormat="1" ht="16.5">
      <c r="C81" s="28"/>
      <c r="D81" s="37"/>
      <c r="E81" s="37"/>
      <c r="F81" s="37"/>
      <c r="G81" s="37"/>
    </row>
    <row r="82" spans="3:7" s="26" customFormat="1" ht="16.5">
      <c r="C82" s="28"/>
      <c r="D82" s="37"/>
      <c r="E82" s="37"/>
      <c r="F82" s="37"/>
      <c r="G82" s="37"/>
    </row>
    <row r="83" spans="3:7" s="26" customFormat="1" ht="16.5">
      <c r="C83" s="28"/>
      <c r="D83" s="37"/>
      <c r="E83" s="37"/>
      <c r="F83" s="37"/>
      <c r="G83" s="37"/>
    </row>
    <row r="84" spans="3:7" s="26" customFormat="1" ht="19.5" customHeight="1">
      <c r="C84" s="28"/>
      <c r="D84" s="37"/>
      <c r="E84" s="37"/>
      <c r="F84" s="37"/>
      <c r="G84" s="37"/>
    </row>
    <row r="85" spans="3:7" ht="19.5" customHeight="1"/>
    <row r="86" spans="3:7" ht="19.5" customHeight="1"/>
    <row r="87" spans="3:7" s="26" customFormat="1" ht="16.5">
      <c r="C87" s="28"/>
      <c r="D87" s="37"/>
      <c r="E87" s="37"/>
      <c r="F87" s="37"/>
      <c r="G87" s="37"/>
    </row>
    <row r="88" spans="3:7" s="26" customFormat="1" ht="16.5">
      <c r="C88" s="28"/>
      <c r="D88" s="37"/>
      <c r="E88" s="37"/>
      <c r="F88" s="37"/>
      <c r="G88" s="37"/>
    </row>
    <row r="89" spans="3:7" s="26" customFormat="1" ht="32.25" customHeight="1">
      <c r="C89" s="28"/>
      <c r="D89" s="37"/>
      <c r="E89" s="37"/>
      <c r="F89" s="37"/>
      <c r="G89" s="37"/>
    </row>
    <row r="90" spans="3:7" s="26" customFormat="1" ht="16.5" customHeight="1">
      <c r="C90" s="28"/>
      <c r="D90" s="37"/>
      <c r="E90" s="37"/>
      <c r="F90" s="37"/>
      <c r="G90" s="37"/>
    </row>
    <row r="91" spans="3:7" s="26" customFormat="1" ht="30.75" customHeight="1">
      <c r="C91" s="28"/>
      <c r="D91" s="37"/>
      <c r="E91" s="37"/>
      <c r="F91" s="37"/>
      <c r="G91" s="37"/>
    </row>
    <row r="92" spans="3:7" s="26" customFormat="1" ht="16.5" customHeight="1">
      <c r="C92" s="28"/>
      <c r="D92" s="37"/>
      <c r="E92" s="37"/>
      <c r="F92" s="37"/>
      <c r="G92" s="37"/>
    </row>
    <row r="93" spans="3:7" s="26" customFormat="1" ht="16.5">
      <c r="C93" s="28"/>
      <c r="D93" s="37"/>
      <c r="E93" s="37"/>
      <c r="F93" s="37"/>
      <c r="G93" s="37"/>
    </row>
    <row r="94" spans="3:7" s="26" customFormat="1" ht="16.5">
      <c r="C94" s="28"/>
      <c r="D94" s="37"/>
      <c r="E94" s="37"/>
      <c r="F94" s="37"/>
      <c r="G94" s="37"/>
    </row>
    <row r="95" spans="3:7" s="26" customFormat="1" ht="33.75" customHeight="1">
      <c r="C95" s="28"/>
      <c r="D95" s="37"/>
      <c r="E95" s="37"/>
      <c r="F95" s="37"/>
      <c r="G95" s="37"/>
    </row>
    <row r="105" spans="3:7" ht="30.75" customHeight="1"/>
    <row r="106" spans="3:7" s="26" customFormat="1" ht="16.5">
      <c r="C106" s="28"/>
      <c r="D106" s="37"/>
      <c r="E106" s="37"/>
      <c r="F106" s="37"/>
      <c r="G106" s="37"/>
    </row>
    <row r="107" spans="3:7" ht="12.75" customHeight="1"/>
    <row r="108" spans="3:7" ht="48.75" customHeight="1"/>
    <row r="114" spans="3:7" ht="12.75" customHeight="1"/>
    <row r="115" spans="3:7" ht="19.5" customHeight="1"/>
    <row r="119" spans="3:7" ht="19.5" customHeight="1"/>
    <row r="120" spans="3:7" s="26" customFormat="1" ht="19.5" customHeight="1">
      <c r="C120" s="28"/>
      <c r="D120" s="37"/>
      <c r="E120" s="37"/>
      <c r="F120" s="37"/>
      <c r="G120" s="37"/>
    </row>
    <row r="121" spans="3:7" s="26" customFormat="1" ht="16.5">
      <c r="C121" s="28"/>
      <c r="D121" s="37"/>
      <c r="E121" s="37"/>
      <c r="F121" s="37"/>
      <c r="G121" s="37"/>
    </row>
    <row r="122" spans="3:7" s="26" customFormat="1" ht="16.5">
      <c r="C122" s="28"/>
      <c r="D122" s="37"/>
      <c r="E122" s="37"/>
      <c r="F122" s="37"/>
      <c r="G122" s="37"/>
    </row>
    <row r="123" spans="3:7" s="26" customFormat="1" ht="16.5">
      <c r="C123" s="28"/>
      <c r="D123" s="37"/>
      <c r="E123" s="37"/>
      <c r="F123" s="37"/>
      <c r="G123" s="37"/>
    </row>
    <row r="124" spans="3:7" s="26" customFormat="1" ht="16.5">
      <c r="C124" s="28"/>
      <c r="D124" s="37"/>
      <c r="E124" s="37"/>
      <c r="F124" s="37"/>
      <c r="G124" s="37"/>
    </row>
    <row r="138" spans="3:7" s="26" customFormat="1" ht="16.5">
      <c r="C138" s="28"/>
      <c r="D138" s="37"/>
      <c r="E138" s="37"/>
      <c r="F138" s="37"/>
      <c r="G138" s="37"/>
    </row>
    <row r="139" spans="3:7" s="26" customFormat="1" ht="16.5">
      <c r="C139" s="28"/>
      <c r="D139" s="37"/>
      <c r="E139" s="37"/>
      <c r="F139" s="37"/>
      <c r="G139" s="37"/>
    </row>
    <row r="140" spans="3:7" s="26" customFormat="1" ht="16.5">
      <c r="C140" s="28"/>
      <c r="D140" s="37"/>
      <c r="E140" s="37"/>
      <c r="F140" s="37"/>
      <c r="G140" s="37"/>
    </row>
    <row r="141" spans="3:7" s="26" customFormat="1" ht="16.5">
      <c r="C141" s="28"/>
      <c r="D141" s="37"/>
      <c r="E141" s="37"/>
      <c r="F141" s="37"/>
      <c r="G141" s="37"/>
    </row>
    <row r="142" spans="3:7" s="26" customFormat="1" ht="16.5">
      <c r="C142" s="28"/>
      <c r="D142" s="37"/>
      <c r="E142" s="37"/>
      <c r="F142" s="37"/>
      <c r="G142" s="37"/>
    </row>
    <row r="143" spans="3:7" s="26" customFormat="1" ht="16.5">
      <c r="C143" s="28"/>
      <c r="D143" s="37"/>
      <c r="E143" s="37"/>
      <c r="F143" s="37"/>
      <c r="G143" s="37"/>
    </row>
    <row r="144" spans="3:7" s="26" customFormat="1" ht="16.5">
      <c r="C144" s="28"/>
      <c r="D144" s="37"/>
      <c r="E144" s="37"/>
      <c r="F144" s="37"/>
      <c r="G144" s="37"/>
    </row>
    <row r="145" spans="3:7" s="26" customFormat="1" ht="16.5">
      <c r="C145" s="28"/>
      <c r="D145" s="37"/>
      <c r="E145" s="37"/>
      <c r="F145" s="37"/>
      <c r="G145" s="37"/>
    </row>
    <row r="146" spans="3:7" s="26" customFormat="1" ht="16.5">
      <c r="C146" s="28"/>
      <c r="D146" s="37"/>
      <c r="E146" s="37"/>
      <c r="F146" s="37"/>
      <c r="G146" s="37"/>
    </row>
    <row r="147" spans="3:7" s="26" customFormat="1" ht="16.5">
      <c r="C147" s="28"/>
      <c r="D147" s="37"/>
      <c r="E147" s="37"/>
      <c r="F147" s="37"/>
      <c r="G147" s="37"/>
    </row>
    <row r="148" spans="3:7" s="26" customFormat="1" ht="16.5">
      <c r="C148" s="28"/>
      <c r="D148" s="37"/>
      <c r="E148" s="37"/>
      <c r="F148" s="37"/>
      <c r="G148" s="37"/>
    </row>
    <row r="149" spans="3:7" s="26" customFormat="1" ht="16.5">
      <c r="C149" s="28"/>
      <c r="D149" s="37"/>
      <c r="E149" s="37"/>
      <c r="F149" s="37"/>
      <c r="G149" s="37"/>
    </row>
    <row r="150" spans="3:7" s="26" customFormat="1" ht="16.5">
      <c r="C150" s="28"/>
      <c r="D150" s="37"/>
      <c r="E150" s="37"/>
      <c r="F150" s="37"/>
      <c r="G150" s="37"/>
    </row>
    <row r="151" spans="3:7" s="26" customFormat="1" ht="16.5">
      <c r="C151" s="28"/>
      <c r="D151" s="37"/>
      <c r="E151" s="37"/>
      <c r="F151" s="37"/>
      <c r="G151" s="37"/>
    </row>
    <row r="152" spans="3:7" s="26" customFormat="1" ht="16.5">
      <c r="C152" s="28"/>
      <c r="D152" s="37"/>
      <c r="E152" s="37"/>
      <c r="F152" s="37"/>
      <c r="G152" s="37"/>
    </row>
    <row r="153" spans="3:7" s="26" customFormat="1" ht="16.5">
      <c r="C153" s="28"/>
      <c r="D153" s="37"/>
      <c r="E153" s="37"/>
      <c r="F153" s="37"/>
      <c r="G153" s="37"/>
    </row>
    <row r="154" spans="3:7" s="26" customFormat="1" ht="16.5">
      <c r="C154" s="28"/>
      <c r="D154" s="37"/>
      <c r="E154" s="37"/>
      <c r="F154" s="37"/>
      <c r="G154" s="37"/>
    </row>
    <row r="155" spans="3:7" s="26" customFormat="1" ht="16.5">
      <c r="C155" s="28"/>
      <c r="D155" s="37"/>
      <c r="E155" s="37"/>
      <c r="F155" s="37"/>
      <c r="G155" s="37"/>
    </row>
    <row r="156" spans="3:7" s="26" customFormat="1" ht="16.5">
      <c r="C156" s="28"/>
      <c r="D156" s="37"/>
      <c r="E156" s="37"/>
      <c r="F156" s="37"/>
      <c r="G156" s="37"/>
    </row>
    <row r="157" spans="3:7" s="26" customFormat="1" ht="16.5">
      <c r="C157" s="28"/>
      <c r="D157" s="37"/>
      <c r="E157" s="37"/>
      <c r="F157" s="37"/>
      <c r="G157" s="37"/>
    </row>
    <row r="158" spans="3:7" s="26" customFormat="1" ht="16.5">
      <c r="C158" s="28"/>
      <c r="D158" s="37"/>
      <c r="E158" s="37"/>
      <c r="F158" s="37"/>
      <c r="G158" s="37"/>
    </row>
    <row r="159" spans="3:7" s="26" customFormat="1" ht="16.5">
      <c r="C159" s="28"/>
      <c r="D159" s="37"/>
      <c r="E159" s="37"/>
      <c r="F159" s="37"/>
      <c r="G159" s="37"/>
    </row>
    <row r="160" spans="3:7" s="26" customFormat="1" ht="16.5">
      <c r="C160" s="28"/>
      <c r="D160" s="37"/>
      <c r="E160" s="37"/>
      <c r="F160" s="37"/>
      <c r="G160" s="37"/>
    </row>
    <row r="161" spans="3:7" s="26" customFormat="1" ht="16.5">
      <c r="C161" s="28"/>
      <c r="D161" s="37"/>
      <c r="E161" s="37"/>
      <c r="F161" s="37"/>
      <c r="G161" s="37"/>
    </row>
    <row r="162" spans="3:7" s="26" customFormat="1" ht="16.5">
      <c r="C162" s="28"/>
      <c r="D162" s="37"/>
      <c r="E162" s="37"/>
      <c r="F162" s="37"/>
      <c r="G162" s="37"/>
    </row>
    <row r="163" spans="3:7" s="26" customFormat="1" ht="16.5">
      <c r="C163" s="28"/>
      <c r="D163" s="37"/>
      <c r="E163" s="37"/>
      <c r="F163" s="37"/>
      <c r="G163" s="37"/>
    </row>
    <row r="164" spans="3:7" s="26" customFormat="1" ht="16.5">
      <c r="C164" s="28"/>
      <c r="D164" s="37"/>
      <c r="E164" s="37"/>
      <c r="F164" s="37"/>
      <c r="G164" s="37"/>
    </row>
    <row r="165" spans="3:7" s="26" customFormat="1" ht="16.5">
      <c r="C165" s="28"/>
      <c r="D165" s="37"/>
      <c r="E165" s="37"/>
      <c r="F165" s="37"/>
      <c r="G165" s="37"/>
    </row>
    <row r="166" spans="3:7" s="26" customFormat="1" ht="16.5">
      <c r="C166" s="28"/>
      <c r="D166" s="37"/>
      <c r="E166" s="37"/>
      <c r="F166" s="37"/>
      <c r="G166" s="37"/>
    </row>
    <row r="167" spans="3:7" s="26" customFormat="1" ht="16.5">
      <c r="C167" s="28"/>
      <c r="D167" s="37"/>
      <c r="E167" s="37"/>
      <c r="F167" s="37"/>
      <c r="G167" s="37"/>
    </row>
    <row r="168" spans="3:7" s="26" customFormat="1" ht="16.5">
      <c r="C168" s="28"/>
      <c r="D168" s="37"/>
      <c r="E168" s="37"/>
      <c r="F168" s="37"/>
      <c r="G168" s="37"/>
    </row>
    <row r="169" spans="3:7" s="26" customFormat="1" ht="16.5">
      <c r="C169" s="28"/>
      <c r="D169" s="37"/>
      <c r="E169" s="37"/>
      <c r="F169" s="37"/>
      <c r="G169" s="37"/>
    </row>
    <row r="170" spans="3:7" s="26" customFormat="1" ht="16.5">
      <c r="C170" s="28"/>
      <c r="D170" s="37"/>
      <c r="E170" s="37"/>
      <c r="F170" s="37"/>
      <c r="G170" s="37"/>
    </row>
    <row r="171" spans="3:7" s="26" customFormat="1" ht="16.5">
      <c r="C171" s="28"/>
      <c r="D171" s="37"/>
      <c r="E171" s="37"/>
      <c r="F171" s="37"/>
      <c r="G171" s="37"/>
    </row>
    <row r="172" spans="3:7" s="26" customFormat="1" ht="16.5">
      <c r="C172" s="28"/>
      <c r="D172" s="37"/>
      <c r="E172" s="37"/>
      <c r="F172" s="37"/>
      <c r="G172" s="37"/>
    </row>
    <row r="173" spans="3:7" s="26" customFormat="1" ht="16.5">
      <c r="C173" s="28"/>
      <c r="D173" s="37"/>
      <c r="E173" s="37"/>
      <c r="F173" s="37"/>
      <c r="G173" s="37"/>
    </row>
    <row r="174" spans="3:7" s="26" customFormat="1" ht="16.5">
      <c r="C174" s="28"/>
      <c r="D174" s="37"/>
      <c r="E174" s="37"/>
      <c r="F174" s="37"/>
      <c r="G174" s="37"/>
    </row>
    <row r="175" spans="3:7" s="26" customFormat="1" ht="16.5">
      <c r="C175" s="28"/>
      <c r="D175" s="37"/>
      <c r="E175" s="37"/>
      <c r="F175" s="37"/>
      <c r="G175" s="37"/>
    </row>
    <row r="176" spans="3:7" s="26" customFormat="1" ht="16.5">
      <c r="C176" s="28"/>
      <c r="D176" s="37"/>
      <c r="E176" s="37"/>
      <c r="F176" s="37"/>
      <c r="G176" s="37"/>
    </row>
    <row r="177" spans="3:7" s="26" customFormat="1" ht="16.5">
      <c r="C177" s="28"/>
      <c r="D177" s="37"/>
      <c r="E177" s="37"/>
      <c r="F177" s="37"/>
      <c r="G177" s="37"/>
    </row>
    <row r="178" spans="3:7" s="26" customFormat="1" ht="16.5">
      <c r="C178" s="28"/>
      <c r="D178" s="37"/>
      <c r="E178" s="37"/>
      <c r="F178" s="37"/>
      <c r="G178" s="37"/>
    </row>
    <row r="179" spans="3:7" s="42" customFormat="1" ht="16.5">
      <c r="C179" s="28"/>
      <c r="D179" s="37"/>
      <c r="E179" s="37"/>
      <c r="F179" s="37"/>
      <c r="G179" s="37"/>
    </row>
    <row r="180" spans="3:7" s="26" customFormat="1" ht="16.5">
      <c r="C180" s="28"/>
      <c r="D180" s="37"/>
      <c r="E180" s="37"/>
      <c r="F180" s="37"/>
      <c r="G180" s="37"/>
    </row>
    <row r="181" spans="3:7" s="26" customFormat="1" ht="16.5">
      <c r="C181" s="28"/>
      <c r="D181" s="37"/>
      <c r="E181" s="37"/>
      <c r="F181" s="37"/>
      <c r="G181" s="37"/>
    </row>
    <row r="182" spans="3:7" s="26" customFormat="1" ht="16.5">
      <c r="C182" s="28"/>
      <c r="D182" s="37"/>
      <c r="E182" s="37"/>
      <c r="F182" s="37"/>
      <c r="G182" s="37"/>
    </row>
    <row r="183" spans="3:7" s="26" customFormat="1" ht="16.5">
      <c r="C183" s="28"/>
      <c r="D183" s="37"/>
      <c r="E183" s="37"/>
      <c r="F183" s="37"/>
      <c r="G183" s="37"/>
    </row>
    <row r="184" spans="3:7" s="26" customFormat="1" ht="16.5">
      <c r="C184" s="28"/>
      <c r="D184" s="37"/>
      <c r="E184" s="37"/>
      <c r="F184" s="37"/>
      <c r="G184" s="37"/>
    </row>
    <row r="185" spans="3:7" s="26" customFormat="1" ht="16.5">
      <c r="C185" s="28"/>
      <c r="D185" s="37"/>
      <c r="E185" s="37"/>
      <c r="F185" s="37"/>
      <c r="G185" s="37"/>
    </row>
    <row r="186" spans="3:7" s="26" customFormat="1" ht="16.5">
      <c r="C186" s="28"/>
      <c r="D186" s="37"/>
      <c r="E186" s="37"/>
      <c r="F186" s="37"/>
      <c r="G186" s="37"/>
    </row>
    <row r="187" spans="3:7" s="26" customFormat="1" ht="16.5">
      <c r="C187" s="28"/>
      <c r="D187" s="37"/>
      <c r="E187" s="37"/>
      <c r="F187" s="37"/>
      <c r="G187" s="37"/>
    </row>
    <row r="188" spans="3:7" s="26" customFormat="1" ht="16.5">
      <c r="C188" s="28"/>
      <c r="D188" s="37"/>
      <c r="E188" s="37"/>
      <c r="F188" s="37"/>
      <c r="G188" s="37"/>
    </row>
    <row r="189" spans="3:7" s="26" customFormat="1" ht="16.5">
      <c r="C189" s="28"/>
      <c r="D189" s="37"/>
      <c r="E189" s="37"/>
      <c r="F189" s="37"/>
      <c r="G189" s="37"/>
    </row>
  </sheetData>
  <mergeCells count="5">
    <mergeCell ref="C10:L10"/>
    <mergeCell ref="C25:D25"/>
    <mergeCell ref="F25:G25"/>
    <mergeCell ref="C11:L11"/>
    <mergeCell ref="E26:F26"/>
  </mergeCells>
  <phoneticPr fontId="87" type="noConversion"/>
  <hyperlinks>
    <hyperlink ref="C1" location="ML!A1" tooltip="Về mục lục" display="THUYẾT MINH LẬP DỰ TOÁN"/>
  </hyperlinks>
  <printOptions horizontalCentered="1"/>
  <pageMargins left="0.75" right="0.25" top="0.75" bottom="0.5" header="0.25" footer="0.25"/>
  <pageSetup paperSize="9" orientation="landscape" horizontalDpi="300" verticalDpi="300" r:id="rId1"/>
  <headerFooter>
    <oddHeader>&amp;L&amp;"+,nghiêng"&amp;10Dự toán GXD - www.giaxaydung.vn</oddHeader>
    <oddFooter>&amp;C&amp;P</oddFooter>
  </headerFooter>
  <ignoredErrors>
    <ignoredError sqref="C2:C3" unlockedFormula="1"/>
  </ignoredErrors>
</worksheet>
</file>

<file path=xl/worksheets/sheet40.xml><?xml version="1.0" encoding="utf-8"?>
<worksheet xmlns="http://schemas.openxmlformats.org/spreadsheetml/2006/main" xmlns:r="http://schemas.openxmlformats.org/officeDocument/2006/relationships">
  <sheetPr codeName="shPLVTB" enableFormatConditionsCalculation="0">
    <tabColor indexed="17"/>
  </sheetPr>
  <dimension ref="A1:H7"/>
  <sheetViews>
    <sheetView zoomScale="85" zoomScaleNormal="85" workbookViewId="0">
      <selection activeCell="B7" sqref="B7"/>
    </sheetView>
  </sheetViews>
  <sheetFormatPr defaultRowHeight="15"/>
  <cols>
    <col min="1" max="1" width="5" customWidth="1"/>
    <col min="2" max="3" width="8.5703125" customWidth="1"/>
    <col min="4" max="4" width="23.42578125" customWidth="1"/>
    <col min="5" max="6" width="8.42578125" customWidth="1"/>
    <col min="7" max="8" width="10.28515625" customWidth="1"/>
  </cols>
  <sheetData>
    <row r="1" spans="1:8" s="379" customFormat="1" ht="22.5">
      <c r="A1" s="2" t="s">
        <v>638</v>
      </c>
      <c r="B1" s="378"/>
      <c r="C1" s="378"/>
      <c r="D1" s="378"/>
      <c r="E1" s="378"/>
      <c r="F1" s="378"/>
      <c r="G1" s="378"/>
      <c r="H1" s="378"/>
    </row>
    <row r="2" spans="1:8" s="379" customFormat="1" ht="18.75">
      <c r="A2" s="3" t="str">
        <f>'Bia1'!D42&amp;'Bia1'!E42</f>
        <v>CÔNG TRÌNH: NHÀ BIỆT THỰ GXD</v>
      </c>
      <c r="B2" s="380"/>
      <c r="C2" s="381"/>
      <c r="D2" s="380"/>
      <c r="E2" s="382"/>
      <c r="F2" s="382"/>
      <c r="G2" s="382"/>
      <c r="H2" s="382"/>
    </row>
    <row r="3" spans="1:8" s="379" customFormat="1" ht="18.75">
      <c r="A3" s="3" t="str">
        <f>'Bia2'!D43&amp;'Bia2'!E43</f>
        <v>HẠNG MỤC: ĐỔI BẢNG MÃ FONT RẤT ĐƠN GIẢN TRONG DỰ TOÁN GXD</v>
      </c>
      <c r="B3" s="407"/>
      <c r="C3" s="407"/>
      <c r="D3" s="407"/>
      <c r="E3" s="407"/>
      <c r="F3" s="407"/>
      <c r="G3" s="407"/>
      <c r="H3" s="407"/>
    </row>
    <row r="4" spans="1:8">
      <c r="H4" s="280" t="s">
        <v>956</v>
      </c>
    </row>
    <row r="5" spans="1:8" ht="24.75" customHeight="1">
      <c r="A5" s="1029" t="s">
        <v>660</v>
      </c>
      <c r="B5" s="1029" t="s">
        <v>352</v>
      </c>
      <c r="C5" s="1029" t="s">
        <v>327</v>
      </c>
      <c r="D5" s="1029" t="s">
        <v>333</v>
      </c>
      <c r="E5" s="1029" t="s">
        <v>304</v>
      </c>
      <c r="F5" s="1029" t="s">
        <v>313</v>
      </c>
      <c r="G5" s="1029" t="s">
        <v>305</v>
      </c>
      <c r="H5" s="1029" t="s">
        <v>306</v>
      </c>
    </row>
    <row r="6" spans="1:8">
      <c r="A6" s="1235" t="s">
        <v>908</v>
      </c>
      <c r="B6" s="1234" t="s">
        <v>911</v>
      </c>
      <c r="C6" s="1235" t="s">
        <v>912</v>
      </c>
      <c r="D6" s="1235" t="s">
        <v>913</v>
      </c>
      <c r="E6" s="1235" t="s">
        <v>914</v>
      </c>
      <c r="F6" s="1235" t="s">
        <v>915</v>
      </c>
      <c r="G6" s="1235" t="s">
        <v>917</v>
      </c>
      <c r="H6" s="1235" t="s">
        <v>941</v>
      </c>
    </row>
    <row r="7" spans="1:8" s="440" customFormat="1">
      <c r="B7" s="796"/>
    </row>
  </sheetData>
  <phoneticPr fontId="87" type="noConversion"/>
  <dataValidations count="2">
    <dataValidation allowBlank="1" showInputMessage="1" showErrorMessage="1" sqref="B6"/>
    <dataValidation allowBlank="1" showInputMessage="1" showErrorMessage="1" prompt="Có thể tra vữa theo mã hoặc từ khóa ở đây" sqref="B7"/>
  </dataValidations>
  <hyperlinks>
    <hyperlink ref="A1" location="'DGCT TB'!A1" tooltip="Về bảng đơn giá lắp đặt thiết bị" display="BẢNG PHỤ LỤC VỮA LẮP ĐẶT THIẾT BỊ"/>
  </hyperlinks>
  <printOptions horizontalCentered="1"/>
  <pageMargins left="0.75" right="0.25" top="0.75" bottom="0.5" header="0.25" footer="0.25"/>
  <pageSetup paperSize="9" orientation="portrait" blackAndWhite="1" horizontalDpi="300" verticalDpi="300" r:id="rId1"/>
  <headerFooter>
    <oddHeader>&amp;L&amp;"+,nghiêng"&amp;10Dự toán GXD - www.giaxaydung.vn</oddHeader>
    <oddFooter>&amp;C&amp;P</oddFooter>
  </headerFooter>
  <ignoredErrors>
    <ignoredError sqref="A2:A3" unlockedFormula="1"/>
  </ignoredErrors>
</worksheet>
</file>

<file path=xl/worksheets/sheet41.xml><?xml version="1.0" encoding="utf-8"?>
<worksheet xmlns="http://schemas.openxmlformats.org/spreadsheetml/2006/main" xmlns:r="http://schemas.openxmlformats.org/officeDocument/2006/relationships">
  <sheetPr codeName="shNCTB" enableFormatConditionsCalculation="0">
    <tabColor indexed="17"/>
  </sheetPr>
  <dimension ref="A1:N221"/>
  <sheetViews>
    <sheetView showZeros="0" zoomScale="85" zoomScaleNormal="85" workbookViewId="0">
      <selection activeCell="B16" sqref="B16"/>
    </sheetView>
  </sheetViews>
  <sheetFormatPr defaultColWidth="9" defaultRowHeight="15.75"/>
  <cols>
    <col min="1" max="1" width="5.5703125" style="514" customWidth="1"/>
    <col min="2" max="2" width="8.5703125" style="514" customWidth="1"/>
    <col min="3" max="3" width="16.42578125" style="514" customWidth="1"/>
    <col min="4" max="4" width="6.140625" style="514" customWidth="1"/>
    <col min="5" max="5" width="8.5703125" style="514" customWidth="1"/>
    <col min="6" max="6" width="12.140625" style="514" customWidth="1"/>
    <col min="7" max="7" width="11.28515625" style="514" customWidth="1"/>
    <col min="8" max="9" width="10.5703125" style="514" customWidth="1"/>
    <col min="10" max="11" width="9" style="514"/>
    <col min="12" max="13" width="9" style="514" hidden="1" customWidth="1"/>
    <col min="14" max="14" width="11.7109375" style="514" customWidth="1"/>
  </cols>
  <sheetData>
    <row r="1" spans="1:14" ht="22.5">
      <c r="A1" s="2" t="s">
        <v>639</v>
      </c>
      <c r="B1" s="494"/>
      <c r="C1" s="494"/>
      <c r="D1" s="378"/>
      <c r="E1" s="378"/>
      <c r="F1" s="378"/>
      <c r="G1" s="378"/>
      <c r="H1" s="378"/>
      <c r="I1" s="378"/>
      <c r="J1" s="378"/>
      <c r="K1" s="378"/>
      <c r="L1" s="378"/>
      <c r="M1" s="378"/>
      <c r="N1" s="378"/>
    </row>
    <row r="2" spans="1:14" ht="18.75">
      <c r="A2" s="3" t="str">
        <f>'Bia1'!D42&amp;'Bia1'!E42</f>
        <v>CÔNG TRÌNH: NHÀ BIỆT THỰ GXD</v>
      </c>
      <c r="B2" s="380"/>
      <c r="C2" s="380"/>
      <c r="D2" s="381"/>
      <c r="E2" s="380"/>
      <c r="F2" s="382"/>
      <c r="G2" s="382"/>
      <c r="H2" s="382"/>
      <c r="I2" s="382"/>
      <c r="J2" s="382"/>
      <c r="K2" s="382"/>
      <c r="L2" s="382"/>
      <c r="M2" s="382"/>
      <c r="N2" s="382"/>
    </row>
    <row r="3" spans="1:14" ht="18.75">
      <c r="A3" s="3" t="str">
        <f>'Bia2'!D43&amp;'Bia2'!E43</f>
        <v>HẠNG MỤC: ĐỔI BẢNG MÃ FONT RẤT ĐƠN GIẢN TRONG DỰ TOÁN GXD</v>
      </c>
      <c r="B3" s="380"/>
      <c r="C3" s="380"/>
      <c r="D3" s="381"/>
      <c r="E3" s="380"/>
      <c r="F3" s="382"/>
      <c r="G3" s="382"/>
      <c r="H3" s="382"/>
      <c r="I3" s="382"/>
      <c r="J3" s="382"/>
      <c r="K3" s="382"/>
      <c r="L3" s="382"/>
      <c r="M3" s="382"/>
      <c r="N3" s="382"/>
    </row>
    <row r="4" spans="1:14" ht="18.75">
      <c r="A4" s="383" t="s">
        <v>354</v>
      </c>
      <c r="B4" s="618"/>
      <c r="C4" s="618"/>
      <c r="D4" s="619"/>
      <c r="E4" s="618"/>
      <c r="F4" s="620">
        <f>LTTC</f>
        <v>1050000</v>
      </c>
      <c r="G4" s="627" t="s">
        <v>355</v>
      </c>
      <c r="H4" s="384"/>
      <c r="I4" s="382"/>
      <c r="J4" s="382"/>
      <c r="K4" s="382"/>
      <c r="L4" s="382"/>
      <c r="M4" s="382"/>
      <c r="N4" s="382"/>
    </row>
    <row r="5" spans="1:14" ht="18.75">
      <c r="A5" s="383" t="s">
        <v>356</v>
      </c>
      <c r="B5" s="618"/>
      <c r="C5" s="618"/>
      <c r="D5" s="619"/>
      <c r="E5" s="618"/>
      <c r="F5" s="620">
        <f>LTTV</f>
        <v>2000000</v>
      </c>
      <c r="G5" s="627" t="s">
        <v>355</v>
      </c>
      <c r="H5" s="384"/>
      <c r="I5" s="382"/>
      <c r="J5" s="382"/>
      <c r="K5" s="382"/>
      <c r="L5" s="382"/>
      <c r="M5" s="382"/>
      <c r="N5" s="382"/>
    </row>
    <row r="6" spans="1:14" ht="18.75">
      <c r="A6" s="383" t="s">
        <v>357</v>
      </c>
      <c r="B6" s="618"/>
      <c r="C6" s="618"/>
      <c r="D6" s="619"/>
      <c r="E6" s="618"/>
      <c r="F6" s="628"/>
      <c r="G6" s="629"/>
      <c r="H6" s="384"/>
      <c r="I6" s="382"/>
      <c r="J6" s="382"/>
      <c r="K6" s="382"/>
      <c r="L6" s="382"/>
      <c r="M6" s="382"/>
      <c r="N6" s="382"/>
    </row>
    <row r="7" spans="1:14" ht="18.75">
      <c r="A7" s="609"/>
      <c r="B7" s="777" t="s">
        <v>840</v>
      </c>
      <c r="C7" s="778"/>
      <c r="D7" s="1320">
        <f>Ts!C24</f>
        <v>0.2</v>
      </c>
      <c r="E7" s="1320"/>
      <c r="F7" s="726">
        <f>$F$4*luudong</f>
        <v>210000</v>
      </c>
      <c r="G7" s="621" t="s">
        <v>355</v>
      </c>
      <c r="I7" s="385"/>
      <c r="J7" s="386"/>
      <c r="K7" s="386"/>
      <c r="L7" s="386"/>
      <c r="M7" s="386"/>
      <c r="N7" s="386"/>
    </row>
    <row r="8" spans="1:14" ht="18.75">
      <c r="A8" s="609"/>
      <c r="B8" s="777" t="s">
        <v>841</v>
      </c>
      <c r="C8" s="778"/>
      <c r="D8" s="1320">
        <f>Ts!C28</f>
        <v>0</v>
      </c>
      <c r="E8" s="1320"/>
      <c r="F8" s="726">
        <f>$F$4*khuvuc</f>
        <v>0</v>
      </c>
      <c r="G8" s="621" t="s">
        <v>355</v>
      </c>
      <c r="I8" s="385"/>
      <c r="J8" s="386"/>
      <c r="K8" s="386"/>
      <c r="L8" s="386"/>
      <c r="M8" s="386"/>
      <c r="N8" s="386"/>
    </row>
    <row r="9" spans="1:14" ht="18.75">
      <c r="A9" s="609"/>
      <c r="B9" s="777" t="s">
        <v>842</v>
      </c>
      <c r="C9" s="778"/>
      <c r="D9" s="1320">
        <f>Ts!C30</f>
        <v>0</v>
      </c>
      <c r="E9" s="1320"/>
      <c r="F9" s="726">
        <f>$F$4*dochai</f>
        <v>0</v>
      </c>
      <c r="G9" s="621" t="s">
        <v>355</v>
      </c>
      <c r="I9" s="385"/>
      <c r="J9" s="386"/>
      <c r="K9" s="386"/>
      <c r="L9" s="386"/>
      <c r="M9" s="386"/>
      <c r="N9" s="385"/>
    </row>
    <row r="10" spans="1:14" ht="18.75">
      <c r="A10" s="609"/>
      <c r="B10" s="780" t="s">
        <v>843</v>
      </c>
      <c r="C10" s="779"/>
      <c r="D10" s="781"/>
      <c r="E10" s="781"/>
      <c r="F10" s="782">
        <f>SUM(F7:F9)</f>
        <v>210000</v>
      </c>
      <c r="G10" s="783" t="s">
        <v>355</v>
      </c>
      <c r="I10" s="385"/>
      <c r="J10" s="386"/>
      <c r="K10" s="386"/>
      <c r="L10" s="386"/>
      <c r="M10" s="386"/>
      <c r="N10" s="385"/>
    </row>
    <row r="11" spans="1:14" ht="15">
      <c r="A11" s="387"/>
      <c r="B11" s="515"/>
      <c r="C11" s="515"/>
      <c r="D11" s="388"/>
      <c r="E11" s="387"/>
      <c r="F11" s="389"/>
      <c r="G11" s="389"/>
      <c r="H11" s="389"/>
      <c r="I11" s="389"/>
      <c r="J11" s="390"/>
      <c r="K11" s="390"/>
      <c r="L11" s="390"/>
      <c r="M11" s="390"/>
      <c r="N11" s="390"/>
    </row>
    <row r="12" spans="1:14" ht="15" customHeight="1">
      <c r="A12" s="1409" t="s">
        <v>660</v>
      </c>
      <c r="B12" s="1409" t="s">
        <v>327</v>
      </c>
      <c r="C12" s="1409" t="s">
        <v>781</v>
      </c>
      <c r="D12" s="1409" t="s">
        <v>359</v>
      </c>
      <c r="E12" s="1406" t="s">
        <v>360</v>
      </c>
      <c r="F12" s="1406" t="s">
        <v>361</v>
      </c>
      <c r="G12" s="1406" t="s">
        <v>362</v>
      </c>
      <c r="H12" s="1030" t="s">
        <v>363</v>
      </c>
      <c r="I12" s="1031"/>
      <c r="J12" s="1032"/>
      <c r="K12" s="1032"/>
      <c r="L12" s="1032"/>
      <c r="M12" s="1031"/>
      <c r="N12" s="1406" t="s">
        <v>364</v>
      </c>
    </row>
    <row r="13" spans="1:14" ht="24">
      <c r="A13" s="1410"/>
      <c r="B13" s="1410"/>
      <c r="C13" s="1410"/>
      <c r="D13" s="1410"/>
      <c r="E13" s="1407"/>
      <c r="F13" s="1407"/>
      <c r="G13" s="1407" t="s">
        <v>365</v>
      </c>
      <c r="H13" s="1029" t="s">
        <v>366</v>
      </c>
      <c r="I13" s="1029" t="s">
        <v>367</v>
      </c>
      <c r="J13" s="1029" t="s">
        <v>785</v>
      </c>
      <c r="K13" s="1029" t="s">
        <v>369</v>
      </c>
      <c r="L13" s="1029" t="s">
        <v>370</v>
      </c>
      <c r="M13" s="1029" t="s">
        <v>371</v>
      </c>
      <c r="N13" s="1407"/>
    </row>
    <row r="14" spans="1:14" ht="22.5" customHeight="1">
      <c r="A14" s="1411"/>
      <c r="B14" s="1411"/>
      <c r="C14" s="1411"/>
      <c r="D14" s="1411"/>
      <c r="E14" s="1408"/>
      <c r="F14" s="1408"/>
      <c r="G14" s="1408"/>
      <c r="H14" s="1033">
        <f>Ts!$C$25</f>
        <v>0.12</v>
      </c>
      <c r="I14" s="1033">
        <f>Ts!$C$26</f>
        <v>0.04</v>
      </c>
      <c r="J14" s="1033">
        <f>Ts!$C$27</f>
        <v>0</v>
      </c>
      <c r="K14" s="1033">
        <f>thuhut</f>
        <v>0</v>
      </c>
      <c r="L14" s="1033">
        <f>Ts!$C$31</f>
        <v>0</v>
      </c>
      <c r="M14" s="1033">
        <f>Ts!$C$32</f>
        <v>0</v>
      </c>
      <c r="N14" s="1408"/>
    </row>
    <row r="15" spans="1:14">
      <c r="A15" s="1236" t="s">
        <v>908</v>
      </c>
      <c r="B15" s="1236" t="s">
        <v>911</v>
      </c>
      <c r="C15" s="1236" t="s">
        <v>912</v>
      </c>
      <c r="D15" s="1236" t="s">
        <v>913</v>
      </c>
      <c r="E15" s="1236" t="s">
        <v>914</v>
      </c>
      <c r="F15" s="1236" t="s">
        <v>915</v>
      </c>
      <c r="G15" s="1236" t="s">
        <v>917</v>
      </c>
      <c r="H15" s="1236" t="s">
        <v>918</v>
      </c>
      <c r="I15" s="1236" t="s">
        <v>923</v>
      </c>
      <c r="J15" s="1236" t="s">
        <v>927</v>
      </c>
      <c r="K15" s="1236" t="s">
        <v>928</v>
      </c>
      <c r="L15" s="1236" t="s">
        <v>942</v>
      </c>
      <c r="M15" s="1236" t="s">
        <v>943</v>
      </c>
      <c r="N15" s="1236" t="s">
        <v>929</v>
      </c>
    </row>
    <row r="16" spans="1:14">
      <c r="C16" s="864"/>
    </row>
    <row r="17" spans="3:3">
      <c r="C17" s="864"/>
    </row>
    <row r="18" spans="3:3">
      <c r="C18" s="864"/>
    </row>
    <row r="19" spans="3:3">
      <c r="C19" s="864"/>
    </row>
    <row r="20" spans="3:3">
      <c r="C20" s="864"/>
    </row>
    <row r="21" spans="3:3">
      <c r="C21" s="864"/>
    </row>
    <row r="22" spans="3:3">
      <c r="C22" s="864"/>
    </row>
    <row r="23" spans="3:3">
      <c r="C23" s="864"/>
    </row>
    <row r="24" spans="3:3">
      <c r="C24" s="864"/>
    </row>
    <row r="25" spans="3:3">
      <c r="C25" s="864"/>
    </row>
    <row r="26" spans="3:3">
      <c r="C26" s="864"/>
    </row>
    <row r="27" spans="3:3">
      <c r="C27" s="864"/>
    </row>
    <row r="28" spans="3:3">
      <c r="C28" s="864"/>
    </row>
    <row r="29" spans="3:3">
      <c r="C29" s="864"/>
    </row>
    <row r="30" spans="3:3">
      <c r="C30" s="864"/>
    </row>
    <row r="31" spans="3:3">
      <c r="C31" s="864"/>
    </row>
    <row r="32" spans="3:3">
      <c r="C32" s="864"/>
    </row>
    <row r="33" spans="3:3">
      <c r="C33" s="864"/>
    </row>
    <row r="34" spans="3:3">
      <c r="C34" s="864"/>
    </row>
    <row r="35" spans="3:3">
      <c r="C35" s="864"/>
    </row>
    <row r="36" spans="3:3">
      <c r="C36" s="864"/>
    </row>
    <row r="37" spans="3:3">
      <c r="C37" s="864"/>
    </row>
    <row r="38" spans="3:3">
      <c r="C38" s="864"/>
    </row>
    <row r="39" spans="3:3">
      <c r="C39" s="864"/>
    </row>
    <row r="40" spans="3:3">
      <c r="C40" s="864"/>
    </row>
    <row r="41" spans="3:3">
      <c r="C41" s="864"/>
    </row>
    <row r="42" spans="3:3">
      <c r="C42" s="864"/>
    </row>
    <row r="43" spans="3:3">
      <c r="C43" s="864"/>
    </row>
    <row r="44" spans="3:3">
      <c r="C44" s="864"/>
    </row>
    <row r="45" spans="3:3">
      <c r="C45" s="864"/>
    </row>
    <row r="46" spans="3:3">
      <c r="C46" s="864"/>
    </row>
    <row r="47" spans="3:3">
      <c r="C47" s="864"/>
    </row>
    <row r="48" spans="3:3">
      <c r="C48" s="864"/>
    </row>
    <row r="49" spans="3:3">
      <c r="C49" s="864"/>
    </row>
    <row r="50" spans="3:3">
      <c r="C50" s="864"/>
    </row>
    <row r="51" spans="3:3">
      <c r="C51" s="864"/>
    </row>
    <row r="52" spans="3:3">
      <c r="C52" s="864"/>
    </row>
    <row r="53" spans="3:3">
      <c r="C53" s="864"/>
    </row>
    <row r="54" spans="3:3">
      <c r="C54" s="864"/>
    </row>
    <row r="55" spans="3:3">
      <c r="C55" s="864"/>
    </row>
    <row r="56" spans="3:3">
      <c r="C56" s="864"/>
    </row>
    <row r="57" spans="3:3">
      <c r="C57" s="864"/>
    </row>
    <row r="58" spans="3:3">
      <c r="C58" s="864"/>
    </row>
    <row r="59" spans="3:3">
      <c r="C59" s="864"/>
    </row>
    <row r="60" spans="3:3">
      <c r="C60" s="864"/>
    </row>
    <row r="61" spans="3:3">
      <c r="C61" s="864"/>
    </row>
    <row r="62" spans="3:3">
      <c r="C62" s="864"/>
    </row>
    <row r="63" spans="3:3">
      <c r="C63" s="864"/>
    </row>
    <row r="64" spans="3:3">
      <c r="C64" s="864"/>
    </row>
    <row r="65" spans="3:3">
      <c r="C65" s="864"/>
    </row>
    <row r="66" spans="3:3">
      <c r="C66" s="864"/>
    </row>
    <row r="67" spans="3:3">
      <c r="C67" s="864"/>
    </row>
    <row r="68" spans="3:3">
      <c r="C68" s="864"/>
    </row>
    <row r="69" spans="3:3">
      <c r="C69" s="864"/>
    </row>
    <row r="70" spans="3:3">
      <c r="C70" s="864"/>
    </row>
    <row r="71" spans="3:3">
      <c r="C71" s="864"/>
    </row>
    <row r="72" spans="3:3">
      <c r="C72" s="864"/>
    </row>
    <row r="73" spans="3:3">
      <c r="C73" s="864"/>
    </row>
    <row r="74" spans="3:3">
      <c r="C74" s="864"/>
    </row>
    <row r="75" spans="3:3">
      <c r="C75" s="864"/>
    </row>
    <row r="76" spans="3:3">
      <c r="C76" s="864"/>
    </row>
    <row r="77" spans="3:3">
      <c r="C77" s="864"/>
    </row>
    <row r="78" spans="3:3">
      <c r="C78" s="864"/>
    </row>
    <row r="79" spans="3:3">
      <c r="C79" s="864"/>
    </row>
    <row r="80" spans="3:3">
      <c r="C80" s="864"/>
    </row>
    <row r="81" spans="3:3">
      <c r="C81" s="864"/>
    </row>
    <row r="82" spans="3:3">
      <c r="C82" s="864"/>
    </row>
    <row r="83" spans="3:3">
      <c r="C83" s="864"/>
    </row>
    <row r="84" spans="3:3">
      <c r="C84" s="864"/>
    </row>
    <row r="85" spans="3:3">
      <c r="C85" s="864"/>
    </row>
    <row r="86" spans="3:3">
      <c r="C86" s="864"/>
    </row>
    <row r="87" spans="3:3">
      <c r="C87" s="864"/>
    </row>
    <row r="88" spans="3:3">
      <c r="C88" s="864"/>
    </row>
    <row r="89" spans="3:3">
      <c r="C89" s="864"/>
    </row>
    <row r="90" spans="3:3">
      <c r="C90" s="864"/>
    </row>
    <row r="91" spans="3:3">
      <c r="C91" s="864"/>
    </row>
    <row r="92" spans="3:3">
      <c r="C92" s="864"/>
    </row>
    <row r="93" spans="3:3">
      <c r="C93" s="864"/>
    </row>
    <row r="94" spans="3:3">
      <c r="C94" s="864"/>
    </row>
    <row r="95" spans="3:3">
      <c r="C95" s="864"/>
    </row>
    <row r="96" spans="3:3">
      <c r="C96" s="864"/>
    </row>
    <row r="97" spans="3:3">
      <c r="C97" s="864"/>
    </row>
    <row r="98" spans="3:3">
      <c r="C98" s="864"/>
    </row>
    <row r="99" spans="3:3">
      <c r="C99" s="864"/>
    </row>
    <row r="100" spans="3:3">
      <c r="C100" s="864"/>
    </row>
    <row r="101" spans="3:3">
      <c r="C101" s="864"/>
    </row>
    <row r="102" spans="3:3">
      <c r="C102" s="864"/>
    </row>
    <row r="103" spans="3:3">
      <c r="C103" s="864"/>
    </row>
    <row r="104" spans="3:3">
      <c r="C104" s="864"/>
    </row>
    <row r="105" spans="3:3">
      <c r="C105" s="864"/>
    </row>
    <row r="106" spans="3:3">
      <c r="C106" s="864"/>
    </row>
    <row r="107" spans="3:3">
      <c r="C107" s="864"/>
    </row>
    <row r="108" spans="3:3">
      <c r="C108" s="864"/>
    </row>
    <row r="109" spans="3:3">
      <c r="C109" s="864"/>
    </row>
    <row r="110" spans="3:3">
      <c r="C110" s="864"/>
    </row>
    <row r="111" spans="3:3">
      <c r="C111" s="864"/>
    </row>
    <row r="112" spans="3:3">
      <c r="C112" s="864"/>
    </row>
    <row r="113" spans="3:3">
      <c r="C113" s="864"/>
    </row>
    <row r="114" spans="3:3">
      <c r="C114" s="864"/>
    </row>
    <row r="115" spans="3:3">
      <c r="C115" s="864"/>
    </row>
    <row r="116" spans="3:3">
      <c r="C116" s="864"/>
    </row>
    <row r="117" spans="3:3">
      <c r="C117" s="864"/>
    </row>
    <row r="118" spans="3:3">
      <c r="C118" s="864"/>
    </row>
    <row r="119" spans="3:3">
      <c r="C119" s="864"/>
    </row>
    <row r="120" spans="3:3">
      <c r="C120" s="864"/>
    </row>
    <row r="121" spans="3:3">
      <c r="C121" s="864"/>
    </row>
    <row r="122" spans="3:3">
      <c r="C122" s="864"/>
    </row>
    <row r="123" spans="3:3">
      <c r="C123" s="864"/>
    </row>
    <row r="124" spans="3:3">
      <c r="C124" s="864"/>
    </row>
    <row r="125" spans="3:3">
      <c r="C125" s="864"/>
    </row>
    <row r="126" spans="3:3">
      <c r="C126" s="864"/>
    </row>
    <row r="127" spans="3:3">
      <c r="C127" s="864"/>
    </row>
    <row r="128" spans="3:3">
      <c r="C128" s="864"/>
    </row>
    <row r="129" spans="3:3">
      <c r="C129" s="864"/>
    </row>
    <row r="130" spans="3:3">
      <c r="C130" s="864"/>
    </row>
    <row r="131" spans="3:3">
      <c r="C131" s="864"/>
    </row>
    <row r="132" spans="3:3">
      <c r="C132" s="864"/>
    </row>
    <row r="133" spans="3:3">
      <c r="C133" s="864"/>
    </row>
    <row r="134" spans="3:3">
      <c r="C134" s="864"/>
    </row>
    <row r="135" spans="3:3">
      <c r="C135" s="864"/>
    </row>
    <row r="136" spans="3:3">
      <c r="C136" s="864"/>
    </row>
    <row r="137" spans="3:3">
      <c r="C137" s="864"/>
    </row>
    <row r="138" spans="3:3">
      <c r="C138" s="864"/>
    </row>
    <row r="139" spans="3:3">
      <c r="C139" s="864"/>
    </row>
    <row r="140" spans="3:3">
      <c r="C140" s="864"/>
    </row>
    <row r="141" spans="3:3">
      <c r="C141" s="864"/>
    </row>
    <row r="142" spans="3:3">
      <c r="C142" s="864"/>
    </row>
    <row r="143" spans="3:3">
      <c r="C143" s="864"/>
    </row>
    <row r="144" spans="3:3">
      <c r="C144" s="864"/>
    </row>
    <row r="145" spans="3:3">
      <c r="C145" s="864"/>
    </row>
    <row r="146" spans="3:3">
      <c r="C146" s="864"/>
    </row>
    <row r="147" spans="3:3">
      <c r="C147" s="864"/>
    </row>
    <row r="148" spans="3:3">
      <c r="C148" s="864"/>
    </row>
    <row r="149" spans="3:3">
      <c r="C149" s="864"/>
    </row>
    <row r="150" spans="3:3">
      <c r="C150" s="864"/>
    </row>
    <row r="151" spans="3:3">
      <c r="C151" s="864"/>
    </row>
    <row r="152" spans="3:3">
      <c r="C152" s="864"/>
    </row>
    <row r="153" spans="3:3">
      <c r="C153" s="864"/>
    </row>
    <row r="154" spans="3:3">
      <c r="C154" s="864"/>
    </row>
    <row r="155" spans="3:3">
      <c r="C155" s="864"/>
    </row>
    <row r="156" spans="3:3">
      <c r="C156" s="864"/>
    </row>
    <row r="157" spans="3:3">
      <c r="C157" s="864"/>
    </row>
    <row r="158" spans="3:3">
      <c r="C158" s="864"/>
    </row>
    <row r="159" spans="3:3">
      <c r="C159" s="864"/>
    </row>
    <row r="160" spans="3:3">
      <c r="C160" s="864"/>
    </row>
    <row r="161" spans="3:3">
      <c r="C161" s="864"/>
    </row>
    <row r="162" spans="3:3">
      <c r="C162" s="864"/>
    </row>
    <row r="163" spans="3:3">
      <c r="C163" s="864"/>
    </row>
    <row r="164" spans="3:3">
      <c r="C164" s="864"/>
    </row>
    <row r="165" spans="3:3">
      <c r="C165" s="864"/>
    </row>
    <row r="166" spans="3:3">
      <c r="C166" s="864"/>
    </row>
    <row r="167" spans="3:3">
      <c r="C167" s="864"/>
    </row>
    <row r="168" spans="3:3">
      <c r="C168" s="864"/>
    </row>
    <row r="169" spans="3:3">
      <c r="C169" s="864"/>
    </row>
    <row r="170" spans="3:3">
      <c r="C170" s="864"/>
    </row>
    <row r="171" spans="3:3">
      <c r="C171" s="864"/>
    </row>
    <row r="172" spans="3:3">
      <c r="C172" s="864"/>
    </row>
    <row r="173" spans="3:3">
      <c r="C173" s="864"/>
    </row>
    <row r="174" spans="3:3">
      <c r="C174" s="864"/>
    </row>
    <row r="175" spans="3:3">
      <c r="C175" s="864"/>
    </row>
    <row r="176" spans="3:3">
      <c r="C176" s="864"/>
    </row>
    <row r="177" spans="3:3">
      <c r="C177" s="864"/>
    </row>
    <row r="178" spans="3:3">
      <c r="C178" s="864"/>
    </row>
    <row r="179" spans="3:3">
      <c r="C179" s="864"/>
    </row>
    <row r="180" spans="3:3">
      <c r="C180" s="864"/>
    </row>
    <row r="181" spans="3:3">
      <c r="C181" s="864"/>
    </row>
    <row r="182" spans="3:3">
      <c r="C182" s="864"/>
    </row>
    <row r="183" spans="3:3">
      <c r="C183" s="864"/>
    </row>
    <row r="184" spans="3:3">
      <c r="C184" s="864"/>
    </row>
    <row r="185" spans="3:3">
      <c r="C185" s="864"/>
    </row>
    <row r="186" spans="3:3">
      <c r="C186" s="864"/>
    </row>
    <row r="187" spans="3:3">
      <c r="C187" s="864"/>
    </row>
    <row r="188" spans="3:3">
      <c r="C188" s="864"/>
    </row>
    <row r="189" spans="3:3">
      <c r="C189" s="864"/>
    </row>
    <row r="190" spans="3:3">
      <c r="C190" s="864"/>
    </row>
    <row r="191" spans="3:3">
      <c r="C191" s="864"/>
    </row>
    <row r="192" spans="3:3">
      <c r="C192" s="864"/>
    </row>
    <row r="193" spans="3:3">
      <c r="C193" s="864"/>
    </row>
    <row r="194" spans="3:3">
      <c r="C194" s="864"/>
    </row>
    <row r="195" spans="3:3">
      <c r="C195" s="864"/>
    </row>
    <row r="196" spans="3:3">
      <c r="C196" s="864"/>
    </row>
    <row r="197" spans="3:3">
      <c r="C197" s="864"/>
    </row>
    <row r="198" spans="3:3">
      <c r="C198" s="864"/>
    </row>
    <row r="199" spans="3:3">
      <c r="C199" s="864"/>
    </row>
    <row r="200" spans="3:3">
      <c r="C200" s="864"/>
    </row>
    <row r="201" spans="3:3">
      <c r="C201" s="864"/>
    </row>
    <row r="202" spans="3:3">
      <c r="C202" s="864"/>
    </row>
    <row r="203" spans="3:3">
      <c r="C203" s="864"/>
    </row>
    <row r="204" spans="3:3">
      <c r="C204" s="864"/>
    </row>
    <row r="205" spans="3:3">
      <c r="C205" s="864"/>
    </row>
    <row r="206" spans="3:3">
      <c r="C206" s="864"/>
    </row>
    <row r="207" spans="3:3">
      <c r="C207" s="864"/>
    </row>
    <row r="208" spans="3:3">
      <c r="C208" s="864"/>
    </row>
    <row r="209" spans="3:3">
      <c r="C209" s="864"/>
    </row>
    <row r="210" spans="3:3">
      <c r="C210" s="864"/>
    </row>
    <row r="211" spans="3:3">
      <c r="C211" s="864"/>
    </row>
    <row r="212" spans="3:3">
      <c r="C212" s="864"/>
    </row>
    <row r="213" spans="3:3">
      <c r="C213" s="864"/>
    </row>
    <row r="214" spans="3:3">
      <c r="C214" s="864"/>
    </row>
    <row r="215" spans="3:3">
      <c r="C215" s="864"/>
    </row>
    <row r="216" spans="3:3">
      <c r="C216" s="864"/>
    </row>
    <row r="217" spans="3:3">
      <c r="C217" s="864"/>
    </row>
    <row r="218" spans="3:3">
      <c r="C218" s="864"/>
    </row>
    <row r="219" spans="3:3">
      <c r="C219" s="864"/>
    </row>
    <row r="220" spans="3:3">
      <c r="C220" s="864"/>
    </row>
    <row r="221" spans="3:3">
      <c r="C221" s="864"/>
    </row>
  </sheetData>
  <mergeCells count="11">
    <mergeCell ref="D7:E7"/>
    <mergeCell ref="D8:E8"/>
    <mergeCell ref="D9:E9"/>
    <mergeCell ref="N12:N14"/>
    <mergeCell ref="A12:A14"/>
    <mergeCell ref="B12:B14"/>
    <mergeCell ref="D12:D14"/>
    <mergeCell ref="E12:E14"/>
    <mergeCell ref="F12:F14"/>
    <mergeCell ref="G12:G14"/>
    <mergeCell ref="C12:C14"/>
  </mergeCells>
  <phoneticPr fontId="87" type="noConversion"/>
  <dataValidations count="3">
    <dataValidation allowBlank="1" showInputMessage="1" showErrorMessage="1" sqref="B15"/>
    <dataValidation allowBlank="1" showInputMessage="1" showErrorMessage="1" promptTitle="Nhập mức LTTV vào đây" prompt="Nghị định số 70/2011/NĐ-CP ngày 22/08/2011 của Chính phủ quy định mức lương tối thiểu vùng.&#10;Dùng để tính bảng lương mới, rồi nối vào đơn giá chi tiết hoặc TH&amp;CLVT để bù chênh lệch NC hoặc vào GVT để tính giá trị vật tư." sqref="F5"/>
    <dataValidation allowBlank="1" showInputMessage="1" showErrorMessage="1" promptTitle="Nhập mức LTTC vào đây" prompt="LTTC hiện theo Nghị định số 22/2011/NĐ-CP ngày 04/04/2011 của Chính phủ quy định mức lương tối thiểu chung.&#10;Dùng để tính bảng lương mới, rồi nối vào đơn giá chi tiết hoặc TH&amp;CLVT để bù chênh lệch NC hoặc GVT để tính giá trị vật tư." sqref="F4"/>
  </dataValidations>
  <hyperlinks>
    <hyperlink ref="A1" location="'DGCT TB'!A1" tooltip="Về bảng đơn giá lắp đặt thiết bị" display="BẢNG LƯƠNG NHÂN CÔNG LẮP ĐẶT THIẾT BỊ"/>
    <hyperlink ref="A2" location="'TH&amp;CLVT TB'!A1" tooltip="Về bảng TH và chênh lệch vật tư" display="'TH&amp;CLVT TB'!A1"/>
  </hyperlinks>
  <printOptions horizontalCentered="1"/>
  <pageMargins left="0.74803149606299213" right="0.23622047244094491" top="0.74803149606299213" bottom="0.51181102362204722" header="0.23622047244094491" footer="0.23622047244094491"/>
  <pageSetup paperSize="9" orientation="landscape" blackAndWhite="1" horizontalDpi="300" verticalDpi="300" r:id="rId1"/>
  <headerFooter>
    <oddHeader>&amp;L&amp;"+,nghiêng"&amp;10Dự toán GXD - www.giaxaydung.vn</oddHeader>
    <oddFooter>&amp;C&amp;P</oddFooter>
  </headerFooter>
  <ignoredErrors>
    <ignoredError sqref="A2:A3" unlockedFormula="1"/>
  </ignoredErrors>
</worksheet>
</file>

<file path=xl/worksheets/sheet42.xml><?xml version="1.0" encoding="utf-8"?>
<worksheet xmlns="http://schemas.openxmlformats.org/spreadsheetml/2006/main" xmlns:r="http://schemas.openxmlformats.org/officeDocument/2006/relationships">
  <sheetPr codeName="shGCMTB" enableFormatConditionsCalculation="0">
    <tabColor indexed="17"/>
  </sheetPr>
  <dimension ref="A1:AN17"/>
  <sheetViews>
    <sheetView showZeros="0" zoomScale="85" zoomScaleNormal="85" workbookViewId="0">
      <selection activeCell="B8" sqref="B8"/>
    </sheetView>
  </sheetViews>
  <sheetFormatPr defaultColWidth="9" defaultRowHeight="15.75"/>
  <cols>
    <col min="1" max="1" width="4.140625" style="643" customWidth="1"/>
    <col min="2" max="2" width="8.5703125" style="643" customWidth="1"/>
    <col min="3" max="3" width="17.28515625" style="644" customWidth="1"/>
    <col min="4" max="4" width="5.7109375" style="643" customWidth="1"/>
    <col min="5" max="6" width="6.140625" style="643" customWidth="1"/>
    <col min="7" max="7" width="5.28515625" style="645" customWidth="1"/>
    <col min="8" max="8" width="5.85546875" style="643" customWidth="1"/>
    <col min="9" max="9" width="6.28515625" style="645" customWidth="1"/>
    <col min="10" max="10" width="7.7109375" style="643" customWidth="1"/>
    <col min="11" max="11" width="5.5703125" style="645" customWidth="1"/>
    <col min="12" max="12" width="14" style="643" customWidth="1"/>
    <col min="13" max="13" width="11.5703125" style="643" customWidth="1"/>
    <col min="14" max="14" width="9" style="643" customWidth="1"/>
    <col min="15" max="15" width="9" style="645" customWidth="1"/>
    <col min="16" max="16" width="9" style="643" customWidth="1"/>
    <col min="17" max="18" width="9" style="645" customWidth="1"/>
    <col min="19" max="19" width="11" style="645" customWidth="1"/>
    <col min="20" max="22" width="9.140625" style="647" hidden="1" customWidth="1"/>
    <col min="23" max="26" width="9.140625" style="649" hidden="1" customWidth="1"/>
    <col min="27" max="27" width="9.140625" style="647" hidden="1" customWidth="1"/>
    <col min="28" max="29" width="8.7109375" style="647" hidden="1" customWidth="1"/>
    <col min="30" max="32" width="9.140625" style="648" hidden="1" customWidth="1"/>
    <col min="33" max="33" width="9.140625" style="647" hidden="1" customWidth="1"/>
    <col min="34" max="34" width="12.7109375" style="649" customWidth="1"/>
    <col min="35" max="35" width="10.42578125" style="649" customWidth="1"/>
    <col min="36" max="36" width="9.85546875" style="649" customWidth="1"/>
    <col min="37" max="37" width="9.140625" style="649" customWidth="1"/>
    <col min="38" max="38" width="8.85546875" style="649" customWidth="1"/>
    <col min="39" max="40" width="9.28515625" style="649" customWidth="1"/>
    <col min="41" max="16384" width="9" style="649"/>
  </cols>
  <sheetData>
    <row r="1" spans="1:40" customFormat="1" ht="22.5">
      <c r="A1" s="2" t="s">
        <v>613</v>
      </c>
      <c r="B1" s="630"/>
      <c r="C1" s="634"/>
      <c r="D1" s="392"/>
      <c r="E1" s="393"/>
      <c r="F1" s="393"/>
      <c r="G1" s="516"/>
      <c r="H1" s="393"/>
      <c r="I1" s="516"/>
      <c r="J1" s="393"/>
      <c r="K1" s="516"/>
      <c r="L1" s="393"/>
      <c r="M1" s="392"/>
      <c r="N1" s="392"/>
      <c r="O1" s="516"/>
      <c r="P1" s="392"/>
      <c r="Q1" s="516"/>
      <c r="R1" s="516"/>
      <c r="S1" s="516"/>
      <c r="T1" s="516"/>
      <c r="U1" s="516"/>
      <c r="V1" s="516"/>
      <c r="W1" s="516"/>
      <c r="X1" s="516"/>
      <c r="Y1" s="516"/>
      <c r="Z1" s="516"/>
      <c r="AA1" s="516"/>
      <c r="AB1" s="516"/>
      <c r="AC1" s="516"/>
      <c r="AD1" s="637"/>
      <c r="AE1" s="637"/>
      <c r="AF1" s="637"/>
      <c r="AG1" s="516"/>
      <c r="AH1" s="770"/>
      <c r="AI1" s="775" t="s">
        <v>832</v>
      </c>
      <c r="AJ1" s="862" t="s">
        <v>833</v>
      </c>
      <c r="AK1" s="862" t="s">
        <v>837</v>
      </c>
      <c r="AL1" s="862" t="s">
        <v>834</v>
      </c>
      <c r="AM1" s="862" t="s">
        <v>835</v>
      </c>
      <c r="AN1" s="862" t="s">
        <v>836</v>
      </c>
    </row>
    <row r="2" spans="1:40" customFormat="1" ht="18">
      <c r="A2" s="3" t="str">
        <f>'Bia1'!D42&amp;'Bia1'!E42</f>
        <v>CÔNG TRÌNH: NHÀ BIỆT THỰ GXD</v>
      </c>
      <c r="B2" s="631"/>
      <c r="C2" s="631"/>
      <c r="D2" s="396"/>
      <c r="E2" s="397"/>
      <c r="F2" s="397"/>
      <c r="G2" s="517"/>
      <c r="H2" s="397"/>
      <c r="I2" s="517"/>
      <c r="J2" s="397"/>
      <c r="K2" s="517"/>
      <c r="L2" s="397"/>
      <c r="M2" s="396"/>
      <c r="N2" s="396"/>
      <c r="O2" s="517"/>
      <c r="P2" s="396"/>
      <c r="Q2" s="517"/>
      <c r="R2" s="517"/>
      <c r="S2" s="517"/>
      <c r="T2" s="517"/>
      <c r="U2" s="517"/>
      <c r="V2" s="517"/>
      <c r="W2" s="517"/>
      <c r="X2" s="517"/>
      <c r="Y2" s="517"/>
      <c r="Z2" s="517"/>
      <c r="AA2" s="517"/>
      <c r="AB2" s="517"/>
      <c r="AC2" s="517"/>
      <c r="AD2" s="638"/>
      <c r="AE2" s="638"/>
      <c r="AF2" s="638"/>
      <c r="AG2" s="517"/>
      <c r="AH2" s="771" t="s">
        <v>838</v>
      </c>
      <c r="AI2" s="773">
        <f>xang</f>
        <v>19000</v>
      </c>
      <c r="AJ2" s="773">
        <f>diezel</f>
        <v>18955</v>
      </c>
      <c r="AK2" s="773">
        <f>dien</f>
        <v>1242</v>
      </c>
      <c r="AL2" s="773">
        <f>mazut</f>
        <v>13548</v>
      </c>
      <c r="AM2" s="773">
        <f>Ts!C38</f>
        <v>0</v>
      </c>
      <c r="AN2" s="773">
        <f>Ts!C39</f>
        <v>0</v>
      </c>
    </row>
    <row r="3" spans="1:40" customFormat="1" ht="18">
      <c r="A3" s="3" t="str">
        <f>'Bia2'!D43&amp;'Bia2'!E43</f>
        <v>HẠNG MỤC: ĐỔI BẢNG MÃ FONT RẤT ĐƠN GIẢN TRONG DỰ TOÁN GXD</v>
      </c>
      <c r="B3" s="632"/>
      <c r="C3" s="635"/>
      <c r="D3" s="398"/>
      <c r="E3" s="399"/>
      <c r="F3" s="399"/>
      <c r="G3" s="518"/>
      <c r="H3" s="399"/>
      <c r="I3" s="518"/>
      <c r="J3" s="399"/>
      <c r="K3" s="518"/>
      <c r="L3" s="399"/>
      <c r="M3" s="398"/>
      <c r="N3" s="398"/>
      <c r="O3" s="518"/>
      <c r="P3" s="398"/>
      <c r="Q3" s="518"/>
      <c r="R3" s="518"/>
      <c r="S3" s="518"/>
      <c r="T3" s="518"/>
      <c r="U3" s="518"/>
      <c r="V3" s="518"/>
      <c r="W3" s="518"/>
      <c r="X3" s="518"/>
      <c r="Y3" s="518"/>
      <c r="Z3" s="518"/>
      <c r="AA3" s="518"/>
      <c r="AB3" s="518"/>
      <c r="AC3" s="518"/>
      <c r="AD3" s="639"/>
      <c r="AE3" s="639"/>
      <c r="AF3" s="639"/>
      <c r="AG3" s="518"/>
      <c r="AH3" s="772" t="s">
        <v>839</v>
      </c>
      <c r="AI3" s="774">
        <f>Ts!C42</f>
        <v>19909</v>
      </c>
      <c r="AJ3" s="774">
        <f>Ts!C43</f>
        <v>19545</v>
      </c>
      <c r="AK3" s="774">
        <f>Ts!C47</f>
        <v>2061</v>
      </c>
      <c r="AL3" s="774">
        <f>Ts!C44</f>
        <v>14548</v>
      </c>
      <c r="AM3" s="774">
        <f>Ts!C45</f>
        <v>0</v>
      </c>
      <c r="AN3" s="774">
        <f>Ts!C46</f>
        <v>0</v>
      </c>
    </row>
    <row r="4" spans="1:40" customFormat="1" ht="18.75">
      <c r="A4" s="401"/>
      <c r="B4" s="633"/>
      <c r="C4" s="636"/>
      <c r="D4" s="402"/>
      <c r="E4" s="403"/>
      <c r="F4" s="403"/>
      <c r="G4" s="519"/>
      <c r="H4" s="403"/>
      <c r="I4" s="519"/>
      <c r="J4" s="403"/>
      <c r="K4" s="519"/>
      <c r="L4" s="403"/>
      <c r="M4" s="402"/>
      <c r="N4" s="402"/>
      <c r="O4" s="519"/>
      <c r="P4" s="401"/>
      <c r="Q4" s="519"/>
      <c r="R4" s="519"/>
      <c r="S4" s="520" t="s">
        <v>956</v>
      </c>
      <c r="T4" s="408"/>
      <c r="U4" s="408"/>
      <c r="V4" s="408"/>
      <c r="AA4" s="408"/>
      <c r="AB4" s="408"/>
      <c r="AC4" s="408"/>
      <c r="AD4" s="409"/>
      <c r="AE4" s="409"/>
      <c r="AF4" s="409"/>
      <c r="AG4" s="408"/>
    </row>
    <row r="5" spans="1:40" customFormat="1" ht="57" customHeight="1">
      <c r="A5" s="1423" t="s">
        <v>660</v>
      </c>
      <c r="B5" s="1423" t="s">
        <v>327</v>
      </c>
      <c r="C5" s="1423" t="s">
        <v>757</v>
      </c>
      <c r="D5" s="1423" t="s">
        <v>758</v>
      </c>
      <c r="E5" s="1425" t="s">
        <v>754</v>
      </c>
      <c r="F5" s="1426"/>
      <c r="G5" s="1426"/>
      <c r="H5" s="1427"/>
      <c r="I5" s="1428" t="s">
        <v>764</v>
      </c>
      <c r="J5" s="1429"/>
      <c r="K5" s="1423" t="s">
        <v>773</v>
      </c>
      <c r="L5" s="1423" t="s">
        <v>759</v>
      </c>
      <c r="M5" s="1423" t="s">
        <v>756</v>
      </c>
      <c r="N5" s="1423" t="s">
        <v>893</v>
      </c>
      <c r="O5" s="1423" t="s">
        <v>894</v>
      </c>
      <c r="P5" s="1423" t="s">
        <v>895</v>
      </c>
      <c r="Q5" s="1423" t="s">
        <v>896</v>
      </c>
      <c r="R5" s="1423" t="s">
        <v>897</v>
      </c>
      <c r="S5" s="1423" t="s">
        <v>898</v>
      </c>
      <c r="T5" s="1418" t="s">
        <v>763</v>
      </c>
      <c r="U5" s="1419"/>
      <c r="V5" s="1420"/>
      <c r="W5" s="1421" t="s">
        <v>778</v>
      </c>
      <c r="X5" s="1421" t="s">
        <v>760</v>
      </c>
      <c r="Y5" s="1412" t="s">
        <v>771</v>
      </c>
      <c r="Z5" s="1412" t="s">
        <v>772</v>
      </c>
      <c r="AA5" s="1416" t="s">
        <v>527</v>
      </c>
      <c r="AB5" s="1412" t="s">
        <v>761</v>
      </c>
      <c r="AC5" s="1412" t="s">
        <v>775</v>
      </c>
      <c r="AD5" s="1412" t="s">
        <v>776</v>
      </c>
      <c r="AE5" s="1412" t="s">
        <v>777</v>
      </c>
      <c r="AF5" s="1412" t="s">
        <v>779</v>
      </c>
      <c r="AG5" s="1414" t="s">
        <v>780</v>
      </c>
      <c r="AH5" s="405"/>
    </row>
    <row r="6" spans="1:40" customFormat="1" ht="72" customHeight="1">
      <c r="A6" s="1424"/>
      <c r="B6" s="1424"/>
      <c r="C6" s="1424"/>
      <c r="D6" s="1424"/>
      <c r="E6" s="1034" t="s">
        <v>523</v>
      </c>
      <c r="F6" s="1034" t="s">
        <v>524</v>
      </c>
      <c r="G6" s="1034" t="s">
        <v>525</v>
      </c>
      <c r="H6" s="1034" t="s">
        <v>755</v>
      </c>
      <c r="I6" s="1430"/>
      <c r="J6" s="1431"/>
      <c r="K6" s="1424"/>
      <c r="L6" s="1424"/>
      <c r="M6" s="1424"/>
      <c r="N6" s="1424"/>
      <c r="O6" s="1424"/>
      <c r="P6" s="1424"/>
      <c r="Q6" s="1424"/>
      <c r="R6" s="1424"/>
      <c r="S6" s="1424"/>
      <c r="T6" s="848" t="s">
        <v>528</v>
      </c>
      <c r="U6" s="848" t="s">
        <v>529</v>
      </c>
      <c r="V6" s="848" t="s">
        <v>530</v>
      </c>
      <c r="W6" s="1422"/>
      <c r="X6" s="1422"/>
      <c r="Y6" s="1413"/>
      <c r="Z6" s="1413"/>
      <c r="AA6" s="1417"/>
      <c r="AB6" s="1413"/>
      <c r="AC6" s="1413"/>
      <c r="AD6" s="1413"/>
      <c r="AE6" s="1413"/>
      <c r="AF6" s="1413"/>
      <c r="AG6" s="1415"/>
      <c r="AH6" s="405"/>
    </row>
    <row r="7" spans="1:40">
      <c r="A7" s="1237" t="s">
        <v>908</v>
      </c>
      <c r="B7" s="1211" t="s">
        <v>911</v>
      </c>
      <c r="C7" s="1238" t="s">
        <v>912</v>
      </c>
      <c r="D7" s="1237" t="s">
        <v>913</v>
      </c>
      <c r="E7" s="1237" t="s">
        <v>914</v>
      </c>
      <c r="F7" s="1237" t="s">
        <v>915</v>
      </c>
      <c r="G7" s="1237" t="s">
        <v>917</v>
      </c>
      <c r="H7" s="1237" t="s">
        <v>918</v>
      </c>
      <c r="I7" s="1237" t="s">
        <v>923</v>
      </c>
      <c r="J7" s="1237"/>
      <c r="K7" s="1239" t="s">
        <v>927</v>
      </c>
      <c r="L7" s="1239" t="s">
        <v>928</v>
      </c>
      <c r="M7" s="1240" t="s">
        <v>929</v>
      </c>
      <c r="N7" s="1240" t="s">
        <v>930</v>
      </c>
      <c r="O7" s="1240" t="s">
        <v>931</v>
      </c>
      <c r="P7" s="1240" t="s">
        <v>932</v>
      </c>
      <c r="Q7" s="1240" t="s">
        <v>933</v>
      </c>
      <c r="R7" s="1240" t="s">
        <v>934</v>
      </c>
      <c r="S7" s="1240" t="s">
        <v>935</v>
      </c>
      <c r="T7" s="872" t="s">
        <v>915</v>
      </c>
      <c r="U7" s="872" t="s">
        <v>917</v>
      </c>
      <c r="V7" s="872" t="s">
        <v>918</v>
      </c>
      <c r="W7" s="877" t="s">
        <v>923</v>
      </c>
      <c r="X7" s="872" t="s">
        <v>927</v>
      </c>
      <c r="Y7" s="872" t="s">
        <v>928</v>
      </c>
      <c r="Z7" s="872" t="s">
        <v>929</v>
      </c>
      <c r="AA7" s="872" t="s">
        <v>929</v>
      </c>
      <c r="AB7" s="872" t="s">
        <v>930</v>
      </c>
      <c r="AC7" s="872" t="s">
        <v>931</v>
      </c>
      <c r="AD7" s="872" t="s">
        <v>932</v>
      </c>
      <c r="AE7" s="872" t="s">
        <v>933</v>
      </c>
      <c r="AF7" s="872" t="s">
        <v>934</v>
      </c>
      <c r="AG7" s="872" t="s">
        <v>935</v>
      </c>
    </row>
    <row r="8" spans="1:40" ht="15.75" customHeight="1">
      <c r="A8" s="641"/>
      <c r="B8" s="796"/>
      <c r="C8" s="646"/>
      <c r="D8" s="641"/>
      <c r="E8" s="641"/>
      <c r="F8" s="641"/>
      <c r="G8" s="641"/>
      <c r="H8" s="641"/>
      <c r="I8" s="641"/>
      <c r="J8" s="641"/>
      <c r="K8" s="642"/>
      <c r="L8" s="642"/>
      <c r="M8" s="647"/>
      <c r="N8" s="647"/>
      <c r="O8" s="647"/>
      <c r="P8" s="647"/>
      <c r="Q8" s="647"/>
      <c r="R8" s="647"/>
      <c r="S8" s="647"/>
      <c r="W8" s="647"/>
      <c r="X8" s="647"/>
      <c r="Y8" s="647"/>
      <c r="Z8" s="647"/>
    </row>
    <row r="9" spans="1:40">
      <c r="A9" s="641"/>
      <c r="B9" s="641"/>
      <c r="C9" s="646"/>
      <c r="D9" s="641"/>
      <c r="E9" s="641"/>
      <c r="F9" s="641"/>
      <c r="G9" s="641"/>
      <c r="H9" s="641"/>
      <c r="I9" s="641"/>
      <c r="J9" s="641"/>
      <c r="K9" s="642"/>
      <c r="L9" s="642"/>
      <c r="M9" s="647"/>
      <c r="N9" s="647"/>
      <c r="O9" s="647"/>
      <c r="P9" s="647"/>
      <c r="Q9" s="647"/>
      <c r="R9" s="647"/>
      <c r="S9" s="647"/>
      <c r="W9" s="647"/>
      <c r="X9" s="647"/>
      <c r="Y9" s="647"/>
      <c r="Z9" s="647"/>
    </row>
    <row r="10" spans="1:40" s="642" customFormat="1">
      <c r="A10" s="641"/>
      <c r="B10" s="641"/>
      <c r="C10" s="646"/>
      <c r="D10" s="641"/>
      <c r="E10" s="641"/>
      <c r="F10" s="641"/>
      <c r="G10" s="641"/>
      <c r="H10" s="641"/>
      <c r="I10" s="641"/>
      <c r="J10" s="641"/>
      <c r="M10" s="650"/>
      <c r="N10" s="650"/>
      <c r="O10" s="650"/>
      <c r="P10" s="650"/>
      <c r="Q10" s="650"/>
      <c r="R10" s="650"/>
      <c r="S10" s="650"/>
      <c r="T10" s="650"/>
      <c r="U10" s="650"/>
      <c r="V10" s="650"/>
      <c r="W10" s="650"/>
      <c r="X10" s="650"/>
      <c r="Y10" s="650"/>
      <c r="Z10" s="650"/>
      <c r="AA10" s="650"/>
      <c r="AB10" s="650"/>
      <c r="AC10" s="650"/>
      <c r="AD10" s="651"/>
      <c r="AE10" s="651"/>
      <c r="AF10" s="651"/>
      <c r="AG10" s="650"/>
    </row>
    <row r="11" spans="1:40" s="642" customFormat="1">
      <c r="A11" s="641"/>
      <c r="B11" s="641"/>
      <c r="C11" s="646"/>
      <c r="D11" s="641"/>
      <c r="E11" s="641"/>
      <c r="F11" s="641"/>
      <c r="G11" s="641"/>
      <c r="H11" s="641"/>
      <c r="I11" s="641"/>
      <c r="J11" s="641"/>
      <c r="M11" s="650"/>
      <c r="N11" s="650"/>
      <c r="O11" s="650"/>
      <c r="P11" s="650"/>
      <c r="Q11" s="650"/>
      <c r="R11" s="650"/>
      <c r="S11" s="650"/>
      <c r="T11" s="650"/>
      <c r="U11" s="650"/>
      <c r="V11" s="650"/>
      <c r="W11" s="650"/>
      <c r="X11" s="650"/>
      <c r="Y11" s="650"/>
      <c r="Z11" s="650"/>
      <c r="AA11" s="650"/>
      <c r="AB11" s="650"/>
      <c r="AC11" s="650"/>
      <c r="AD11" s="651"/>
      <c r="AE11" s="651"/>
      <c r="AF11" s="651"/>
      <c r="AG11" s="650"/>
    </row>
    <row r="12" spans="1:40" s="642" customFormat="1">
      <c r="C12" s="652"/>
      <c r="E12" s="653"/>
      <c r="F12" s="653"/>
      <c r="G12" s="653"/>
      <c r="H12" s="653"/>
      <c r="I12" s="653"/>
      <c r="M12" s="650"/>
      <c r="N12" s="650"/>
      <c r="O12" s="650"/>
      <c r="P12" s="650"/>
      <c r="Q12" s="650"/>
      <c r="R12" s="650"/>
      <c r="S12" s="650"/>
      <c r="T12" s="654"/>
      <c r="U12" s="654"/>
      <c r="V12" s="654"/>
      <c r="W12" s="654"/>
      <c r="X12" s="654"/>
      <c r="Y12" s="654"/>
      <c r="Z12" s="650"/>
      <c r="AA12" s="654"/>
      <c r="AB12" s="650"/>
      <c r="AC12" s="650"/>
      <c r="AD12" s="651"/>
      <c r="AE12" s="651"/>
      <c r="AF12" s="651"/>
      <c r="AG12" s="650"/>
    </row>
    <row r="13" spans="1:40" s="642" customFormat="1">
      <c r="C13" s="652"/>
      <c r="E13" s="653"/>
      <c r="F13" s="653"/>
      <c r="G13" s="653"/>
      <c r="H13" s="653"/>
      <c r="I13" s="653"/>
      <c r="M13" s="650"/>
      <c r="N13" s="650"/>
      <c r="O13" s="650"/>
      <c r="P13" s="650"/>
      <c r="Q13" s="650"/>
      <c r="R13" s="650"/>
      <c r="S13" s="650"/>
      <c r="T13" s="654"/>
      <c r="U13" s="654"/>
      <c r="V13" s="654"/>
      <c r="W13" s="654"/>
      <c r="X13" s="654"/>
      <c r="Y13" s="654"/>
      <c r="Z13" s="650"/>
      <c r="AA13" s="654"/>
      <c r="AB13" s="650"/>
      <c r="AC13" s="650"/>
      <c r="AD13" s="651"/>
      <c r="AE13" s="651"/>
      <c r="AF13" s="651"/>
      <c r="AG13" s="650"/>
    </row>
    <row r="14" spans="1:40" s="642" customFormat="1">
      <c r="C14" s="652"/>
      <c r="E14" s="653"/>
      <c r="F14" s="653"/>
      <c r="G14" s="653"/>
      <c r="H14" s="653"/>
      <c r="I14" s="653"/>
      <c r="M14" s="650"/>
      <c r="N14" s="650"/>
      <c r="O14" s="650"/>
      <c r="P14" s="650"/>
      <c r="Q14" s="650"/>
      <c r="R14" s="650"/>
      <c r="S14" s="650"/>
      <c r="T14" s="654"/>
      <c r="U14" s="654"/>
      <c r="V14" s="654"/>
      <c r="W14" s="654"/>
      <c r="X14" s="654"/>
      <c r="Y14" s="654"/>
      <c r="Z14" s="650"/>
      <c r="AA14" s="654"/>
      <c r="AB14" s="650"/>
      <c r="AC14" s="650"/>
      <c r="AD14" s="651"/>
      <c r="AE14" s="651"/>
      <c r="AF14" s="651"/>
      <c r="AG14" s="650"/>
    </row>
    <row r="15" spans="1:40" s="642" customFormat="1">
      <c r="C15" s="652"/>
      <c r="E15" s="653"/>
      <c r="F15" s="653"/>
      <c r="G15" s="653"/>
      <c r="H15" s="653"/>
      <c r="I15" s="653"/>
      <c r="M15" s="650"/>
      <c r="N15" s="650"/>
      <c r="O15" s="650"/>
      <c r="P15" s="650"/>
      <c r="Q15" s="650"/>
      <c r="R15" s="650"/>
      <c r="S15" s="650"/>
      <c r="T15" s="654"/>
      <c r="U15" s="654"/>
      <c r="V15" s="654"/>
      <c r="W15" s="654"/>
      <c r="X15" s="654"/>
      <c r="Y15" s="654"/>
      <c r="Z15" s="650"/>
      <c r="AA15" s="654"/>
      <c r="AB15" s="650"/>
      <c r="AC15" s="650"/>
      <c r="AD15" s="651"/>
      <c r="AE15" s="651"/>
      <c r="AF15" s="651"/>
      <c r="AG15" s="650"/>
    </row>
    <row r="16" spans="1:40" s="642" customFormat="1">
      <c r="C16" s="652"/>
      <c r="E16" s="653"/>
      <c r="F16" s="653"/>
      <c r="G16" s="653"/>
      <c r="H16" s="653"/>
      <c r="I16" s="653"/>
      <c r="M16" s="650"/>
      <c r="N16" s="650"/>
      <c r="O16" s="650"/>
      <c r="P16" s="650"/>
      <c r="Q16" s="650"/>
      <c r="R16" s="650"/>
      <c r="S16" s="650"/>
      <c r="T16" s="654"/>
      <c r="U16" s="654"/>
      <c r="V16" s="654"/>
      <c r="W16" s="654"/>
      <c r="X16" s="654"/>
      <c r="Y16" s="654"/>
      <c r="Z16" s="650"/>
      <c r="AA16" s="654"/>
      <c r="AB16" s="650"/>
      <c r="AC16" s="650"/>
      <c r="AD16" s="651"/>
      <c r="AE16" s="651"/>
      <c r="AF16" s="651"/>
      <c r="AG16" s="650"/>
    </row>
    <row r="17" spans="3:33" s="642" customFormat="1">
      <c r="C17" s="652"/>
      <c r="E17" s="653"/>
      <c r="F17" s="653"/>
      <c r="G17" s="653"/>
      <c r="H17" s="653"/>
      <c r="I17" s="653"/>
      <c r="M17" s="650"/>
      <c r="N17" s="650"/>
      <c r="O17" s="650"/>
      <c r="P17" s="650"/>
      <c r="Q17" s="650"/>
      <c r="R17" s="650"/>
      <c r="S17" s="650"/>
      <c r="T17" s="654"/>
      <c r="U17" s="654"/>
      <c r="V17" s="654"/>
      <c r="W17" s="654"/>
      <c r="X17" s="654"/>
      <c r="Y17" s="654"/>
      <c r="Z17" s="650"/>
      <c r="AA17" s="654"/>
      <c r="AB17" s="650"/>
      <c r="AC17" s="650"/>
      <c r="AD17" s="651"/>
      <c r="AE17" s="651"/>
      <c r="AF17" s="651"/>
      <c r="AG17" s="650"/>
    </row>
  </sheetData>
  <mergeCells count="27">
    <mergeCell ref="R5:R6"/>
    <mergeCell ref="S5:S6"/>
    <mergeCell ref="A5:A6"/>
    <mergeCell ref="B5:B6"/>
    <mergeCell ref="C5:C6"/>
    <mergeCell ref="D5:D6"/>
    <mergeCell ref="E5:H5"/>
    <mergeCell ref="I5:J6"/>
    <mergeCell ref="K5:K6"/>
    <mergeCell ref="L5:L6"/>
    <mergeCell ref="M5:M6"/>
    <mergeCell ref="N5:N6"/>
    <mergeCell ref="O5:O6"/>
    <mergeCell ref="P5:P6"/>
    <mergeCell ref="Q5:Q6"/>
    <mergeCell ref="T5:V5"/>
    <mergeCell ref="W5:W6"/>
    <mergeCell ref="X5:X6"/>
    <mergeCell ref="Y5:Y6"/>
    <mergeCell ref="Z5:Z6"/>
    <mergeCell ref="AF5:AF6"/>
    <mergeCell ref="AG5:AG6"/>
    <mergeCell ref="AA5:AA6"/>
    <mergeCell ref="AB5:AB6"/>
    <mergeCell ref="AC5:AC6"/>
    <mergeCell ref="AD5:AD6"/>
    <mergeCell ref="AE5:AE6"/>
  </mergeCells>
  <phoneticPr fontId="87" type="noConversion"/>
  <conditionalFormatting sqref="U7">
    <cfRule type="cellIs" dxfId="6" priority="1" stopIfTrue="1" operator="greaterThan">
      <formula>T7</formula>
    </cfRule>
    <cfRule type="cellIs" dxfId="5" priority="2" stopIfTrue="1" operator="lessThan">
      <formula>T7</formula>
    </cfRule>
  </conditionalFormatting>
  <dataValidations count="9">
    <dataValidation allowBlank="1" showInputMessage="1" showErrorMessage="1" prompt="Giá nhiên liệu trong bảng giá ca máy địa phương (giá ca máy gốc) dùng để tính bù giá ca máy.&#10;Tra số liệu trong bảng giá ca máy được công bố tại địa phương nơi xây dựng công trình bạn đang lập dự toán." sqref="AH2"/>
    <dataValidation allowBlank="1" showInputMessage="1" showErrorMessage="1" promptTitle="Nhập giá xăng hiện tại vào đây" prompt="Thường lấy theo thông cáo báo chí của TCT Xăng dầu VN. Dữ liệu này dùng để tính GCM mới hoặc tính bù chênh lệch giá ca máy. Có thể nhập trực tiếp vào đây hoặc nhập từ sheet Ts." sqref="AI3"/>
    <dataValidation allowBlank="1" showInputMessage="1" showErrorMessage="1" promptTitle="Nhập giá Diezel hiện tại vào" prompt="Thường lấy theo thông cáo báo chí của TCT Xăng dầu VN ở thời điểm hiện tại. Dữ liệu này liên kết và tính toán đến sheet GCM XD và GCM TB khi tính giá ca máy mới." sqref="AJ3"/>
    <dataValidation allowBlank="1" showInputMessage="1" showErrorMessage="1" promptTitle="Nhập giá Ma dút vào" prompt="Thường lấy theo thông cáo báo chí của TCT Xăng dầu VN ở thời điểm hiện tại. Dữ liệu này liên kết và tính toán đến sheet GCM XD và GCM TB khi tính giá ca máy mới." sqref="AL3"/>
    <dataValidation allowBlank="1" showInputMessage="1" showErrorMessage="1" promptTitle="Nhập giá điện hiện tại vào" prompt="Thường lấy theo thông tư về giá điện của Bộ Công thương, tìm trên website EVN. Dữ liệu này liên kết và tính toán đến sheet GCM XD và GCM TB khi tính giá ca máy mới." sqref="AK3"/>
    <dataValidation allowBlank="1" showInputMessage="1" showErrorMessage="1" prompt="Nhập giá nhiên liệu, năng lượng ở thời điểm hiện tại vào đây." sqref="AM3:AN3"/>
    <dataValidation allowBlank="1" showInputMessage="1" showErrorMessage="1" prompt="Giá nhiên liệu ở thời điểm hiện tại để tính giá ca máy mới và tính bù giá ca máy." sqref="AH3"/>
    <dataValidation allowBlank="1" showInputMessage="1" showErrorMessage="1" sqref="B7"/>
    <dataValidation allowBlank="1" showInputMessage="1" showErrorMessage="1" prompt="Có thể tra máy theo mã vật tư hoặc từ khóa trong tên máy ở đây" sqref="B8"/>
  </dataValidations>
  <hyperlinks>
    <hyperlink ref="A1" location="'DGCT TB'!A1" tooltip="Về bảng đơn giá lắp đặt thiết bị" display="BẢNG GIÁ CA MÁY VÀ THIẾT BỊ THI CÔNG LẮP ĐẶT THIẾT BỊ"/>
    <hyperlink ref="A2" location="'TH&amp;CLVT TB'!A1" tooltip="Về bảng TH và chênh lệch vật tư" display="'TH&amp;CLVT TB'!A1"/>
  </hyperlinks>
  <printOptions horizontalCentered="1"/>
  <pageMargins left="0.74803149606299213" right="0.23622047244094491" top="0.51181102362204722" bottom="0.51181102362204722" header="0.23622047244094491" footer="0.23622047244094491"/>
  <pageSetup paperSize="9" orientation="landscape" horizontalDpi="300" verticalDpi="300" r:id="rId1"/>
  <headerFooter>
    <oddHeader>&amp;L&amp;"+,nghiêng"&amp;10Dự toán GXD - www.giaxaydung.vn</oddHeader>
    <oddFooter>&amp;C&amp;P</oddFooter>
  </headerFooter>
  <ignoredErrors>
    <ignoredError sqref="A2:A3" unlockedFormula="1"/>
  </ignoredErrors>
</worksheet>
</file>

<file path=xl/worksheets/sheet43.xml><?xml version="1.0" encoding="utf-8"?>
<worksheet xmlns="http://schemas.openxmlformats.org/spreadsheetml/2006/main" xmlns:r="http://schemas.openxmlformats.org/officeDocument/2006/relationships">
  <sheetPr codeName="shBuGCMTB" enableFormatConditionsCalculation="0">
    <tabColor indexed="17"/>
  </sheetPr>
  <dimension ref="A1:M14"/>
  <sheetViews>
    <sheetView showZeros="0" workbookViewId="0">
      <selection activeCell="A14" sqref="A14"/>
    </sheetView>
  </sheetViews>
  <sheetFormatPr defaultRowHeight="15"/>
  <cols>
    <col min="1" max="1" width="4.85546875" customWidth="1"/>
    <col min="2" max="2" width="10" customWidth="1"/>
    <col min="3" max="3" width="37.7109375" customWidth="1"/>
    <col min="4" max="4" width="7.140625" customWidth="1"/>
    <col min="5" max="5" width="12.85546875" customWidth="1"/>
    <col min="6" max="6" width="9.140625" style="975"/>
    <col min="7" max="7" width="10.28515625" style="975" customWidth="1"/>
    <col min="8" max="8" width="10.85546875" style="975" customWidth="1"/>
    <col min="9" max="9" width="10.7109375" style="975" bestFit="1" customWidth="1"/>
    <col min="10" max="10" width="9.42578125" customWidth="1"/>
    <col min="11" max="11" width="10.28515625" customWidth="1"/>
    <col min="12" max="12" width="9.85546875" customWidth="1"/>
    <col min="13" max="13" width="10.85546875" customWidth="1"/>
  </cols>
  <sheetData>
    <row r="1" spans="1:13" ht="26.25" customHeight="1">
      <c r="A1" s="971" t="s">
        <v>1010</v>
      </c>
      <c r="B1" s="915"/>
      <c r="C1" s="915"/>
      <c r="D1" s="915"/>
      <c r="E1" s="915"/>
      <c r="F1" s="972"/>
      <c r="G1" s="972"/>
      <c r="H1" s="972"/>
      <c r="I1" s="972"/>
      <c r="J1" s="973"/>
      <c r="K1" s="973"/>
      <c r="L1" s="973"/>
      <c r="M1" s="973"/>
    </row>
    <row r="2" spans="1:13" ht="18.75">
      <c r="A2" s="974" t="str">
        <f>'Bia1'!D42&amp;'Bia1'!E42</f>
        <v>CÔNG TRÌNH: NHÀ BIỆT THỰ GXD</v>
      </c>
      <c r="B2" s="973"/>
      <c r="C2" s="973"/>
      <c r="D2" s="973"/>
      <c r="E2" s="973"/>
      <c r="F2" s="972"/>
      <c r="G2" s="972"/>
      <c r="H2" s="972"/>
      <c r="I2" s="972"/>
      <c r="J2" s="973"/>
      <c r="K2" s="973"/>
      <c r="L2" s="973"/>
      <c r="M2" s="973"/>
    </row>
    <row r="3" spans="1:13" ht="19.5" customHeight="1">
      <c r="A3" s="974" t="str">
        <f>'Bia1'!D43&amp;'Bia1'!E43</f>
        <v>HẠNG MỤC: ĐỔI BẢNG MÃ FONT RẤT ĐƠN GIẢN TRONG DỰ TOÁN GXD</v>
      </c>
      <c r="B3" s="973"/>
      <c r="C3" s="973"/>
      <c r="D3" s="973"/>
      <c r="E3" s="973"/>
      <c r="F3" s="972"/>
      <c r="G3" s="972"/>
      <c r="H3" s="972"/>
      <c r="I3" s="972"/>
      <c r="J3" s="973"/>
      <c r="K3" s="973"/>
      <c r="L3" s="973"/>
      <c r="M3" s="973"/>
    </row>
    <row r="4" spans="1:13">
      <c r="M4" t="s">
        <v>956</v>
      </c>
    </row>
    <row r="5" spans="1:13" ht="21" customHeight="1">
      <c r="A5" s="1423" t="s">
        <v>660</v>
      </c>
      <c r="B5" s="1432" t="s">
        <v>327</v>
      </c>
      <c r="C5" s="1432" t="s">
        <v>974</v>
      </c>
      <c r="D5" s="1432" t="s">
        <v>564</v>
      </c>
      <c r="E5" s="1432" t="s">
        <v>973</v>
      </c>
      <c r="F5" s="1035" t="s">
        <v>972</v>
      </c>
      <c r="G5" s="1036"/>
      <c r="H5" s="1036"/>
      <c r="I5" s="1037"/>
      <c r="J5" s="1038" t="s">
        <v>971</v>
      </c>
      <c r="K5" s="1039"/>
      <c r="L5" s="1039"/>
      <c r="M5" s="1040"/>
    </row>
    <row r="6" spans="1:13" ht="18.75" customHeight="1">
      <c r="A6" s="1424"/>
      <c r="B6" s="1433"/>
      <c r="C6" s="1433"/>
      <c r="D6" s="1433"/>
      <c r="E6" s="1433"/>
      <c r="F6" s="1041" t="s">
        <v>970</v>
      </c>
      <c r="G6" s="1041" t="s">
        <v>969</v>
      </c>
      <c r="H6" s="1041" t="s">
        <v>968</v>
      </c>
      <c r="I6" s="1041" t="s">
        <v>967</v>
      </c>
      <c r="J6" s="1042" t="s">
        <v>970</v>
      </c>
      <c r="K6" s="1042" t="s">
        <v>969</v>
      </c>
      <c r="L6" s="1042" t="s">
        <v>968</v>
      </c>
      <c r="M6" s="1042" t="s">
        <v>967</v>
      </c>
    </row>
    <row r="7" spans="1:13">
      <c r="A7" s="984" t="s">
        <v>908</v>
      </c>
      <c r="B7" s="984" t="s">
        <v>911</v>
      </c>
      <c r="C7" s="984" t="s">
        <v>912</v>
      </c>
      <c r="D7" s="984" t="s">
        <v>913</v>
      </c>
      <c r="E7" s="984" t="s">
        <v>914</v>
      </c>
      <c r="F7" s="985" t="s">
        <v>915</v>
      </c>
      <c r="G7" s="985" t="s">
        <v>917</v>
      </c>
      <c r="H7" s="985" t="s">
        <v>918</v>
      </c>
      <c r="I7" s="985" t="s">
        <v>923</v>
      </c>
      <c r="J7" s="984" t="s">
        <v>927</v>
      </c>
      <c r="K7" s="984" t="s">
        <v>928</v>
      </c>
      <c r="L7" s="984" t="s">
        <v>929</v>
      </c>
      <c r="M7" s="984" t="s">
        <v>930</v>
      </c>
    </row>
    <row r="8" spans="1:13">
      <c r="A8" s="986"/>
      <c r="B8" s="986"/>
      <c r="C8" s="987"/>
      <c r="D8" s="986"/>
      <c r="E8" s="986"/>
      <c r="F8" s="988"/>
      <c r="G8" s="988"/>
      <c r="H8" s="988"/>
      <c r="I8" s="988"/>
      <c r="J8" s="986"/>
      <c r="K8" s="986"/>
      <c r="L8" s="986"/>
      <c r="M8" s="986"/>
    </row>
    <row r="9" spans="1:13">
      <c r="A9" s="989"/>
      <c r="B9" s="989"/>
      <c r="C9" s="989"/>
      <c r="D9" s="989"/>
      <c r="E9" s="989"/>
      <c r="F9" s="990"/>
      <c r="G9" s="990"/>
      <c r="H9" s="990"/>
      <c r="I9" s="990"/>
      <c r="J9" s="989"/>
      <c r="K9" s="989"/>
      <c r="L9" s="989"/>
      <c r="M9" s="989"/>
    </row>
    <row r="10" spans="1:13">
      <c r="A10" s="989"/>
      <c r="B10" s="989"/>
      <c r="C10" s="989"/>
      <c r="D10" s="989"/>
      <c r="E10" s="989"/>
      <c r="F10" s="990"/>
      <c r="G10" s="990"/>
      <c r="H10" s="990"/>
      <c r="I10" s="990"/>
      <c r="J10" s="989"/>
      <c r="K10" s="989"/>
      <c r="L10" s="989"/>
      <c r="M10" s="989"/>
    </row>
    <row r="11" spans="1:13">
      <c r="A11" s="989"/>
      <c r="B11" s="989"/>
      <c r="C11" s="989"/>
      <c r="D11" s="989"/>
      <c r="E11" s="989"/>
      <c r="F11" s="990"/>
      <c r="G11" s="990"/>
      <c r="H11" s="990"/>
      <c r="I11" s="990"/>
      <c r="J11" s="989"/>
      <c r="K11" s="989"/>
      <c r="L11" s="989"/>
      <c r="M11" s="989"/>
    </row>
    <row r="12" spans="1:13">
      <c r="A12" s="989"/>
      <c r="B12" s="989"/>
      <c r="C12" s="989"/>
      <c r="D12" s="989"/>
      <c r="E12" s="989"/>
      <c r="F12" s="990"/>
      <c r="G12" s="990"/>
      <c r="H12" s="990"/>
      <c r="I12" s="990"/>
      <c r="J12" s="989"/>
      <c r="K12" s="989"/>
      <c r="L12" s="989"/>
      <c r="M12" s="989"/>
    </row>
    <row r="13" spans="1:13">
      <c r="A13" s="991"/>
      <c r="B13" s="991"/>
      <c r="C13" s="991"/>
      <c r="D13" s="991"/>
      <c r="E13" s="991"/>
      <c r="F13" s="992"/>
      <c r="G13" s="992"/>
      <c r="H13" s="992"/>
      <c r="I13" s="992"/>
      <c r="J13" s="991"/>
      <c r="K13" s="991"/>
      <c r="L13" s="991"/>
      <c r="M13" s="991"/>
    </row>
    <row r="14" spans="1:13">
      <c r="A14" s="1065" t="s">
        <v>753</v>
      </c>
      <c r="B14" s="1043"/>
      <c r="C14" s="1043"/>
      <c r="D14" s="1043"/>
      <c r="E14" s="1043"/>
      <c r="F14" s="1044"/>
      <c r="G14" s="1044"/>
      <c r="H14" s="1044"/>
      <c r="I14" s="1045"/>
      <c r="J14" s="1046">
        <f>SUM(J8:J13)</f>
        <v>0</v>
      </c>
      <c r="K14" s="1046">
        <f>SUM(K8:K13)</f>
        <v>0</v>
      </c>
      <c r="L14" s="1046">
        <f>SUM(L8:L13)</f>
        <v>0</v>
      </c>
      <c r="M14" s="1046">
        <f>SUM(M8:M13)</f>
        <v>0</v>
      </c>
    </row>
  </sheetData>
  <mergeCells count="5">
    <mergeCell ref="A5:A6"/>
    <mergeCell ref="B5:B6"/>
    <mergeCell ref="C5:C6"/>
    <mergeCell ref="D5:D6"/>
    <mergeCell ref="E5:E6"/>
  </mergeCells>
  <phoneticPr fontId="87" type="noConversion"/>
  <hyperlinks>
    <hyperlink ref="A1" location="'GCM TB'!A1" tooltip="Kích để về bảng giá ca máy" display="BẢNG TỔNG HỢP NHIÊN LIỆU, NĂNG LƯỢNG PHẦN LẮP ĐẶT THIẾT BỊ"/>
    <hyperlink ref="A2" location="'TH&amp;CLVT TB'!A1" tooltip="Về bảng TH và chênh lệch vật tư" display="'TH&amp;CLVT TB'!A1"/>
  </hyperlinks>
  <printOptions horizontalCentered="1"/>
  <pageMargins left="0.70866141732283472" right="0.31496062992125984" top="0.74803149606299213" bottom="0.74803149606299213" header="0.31496062992125984" footer="0.31496062992125984"/>
  <pageSetup paperSize="9" orientation="portrait" horizontalDpi="300" verticalDpi="300" r:id="rId1"/>
  <headerFooter>
    <oddHeader>&amp;L&amp;"+,nghiêng"&amp;10Dự toán GXD - www.giaxaydung.vn</oddHeader>
    <oddFooter>&amp;C&amp;P</oddFooter>
  </headerFooter>
  <ignoredErrors>
    <ignoredError sqref="A3" unlockedFormula="1"/>
  </ignoredErrors>
  <legacyDrawing r:id="rId2"/>
</worksheet>
</file>

<file path=xl/worksheets/sheet44.xml><?xml version="1.0" encoding="utf-8"?>
<worksheet xmlns="http://schemas.openxmlformats.org/spreadsheetml/2006/main" xmlns:r="http://schemas.openxmlformats.org/officeDocument/2006/relationships">
  <sheetPr codeName="shVTDCTB">
    <tabColor rgb="FFFFC000"/>
    <pageSetUpPr autoPageBreaks="0"/>
  </sheetPr>
  <dimension ref="A1:K7"/>
  <sheetViews>
    <sheetView showZeros="0" workbookViewId="0">
      <selection activeCell="A3" sqref="A3"/>
    </sheetView>
  </sheetViews>
  <sheetFormatPr defaultRowHeight="15"/>
  <cols>
    <col min="1" max="1" width="4.140625" style="1194" customWidth="1"/>
    <col min="2" max="2" width="9.140625" style="1135"/>
    <col min="3" max="3" width="30" style="1135" customWidth="1"/>
    <col min="4" max="4" width="7.42578125" style="1135" customWidth="1"/>
    <col min="5" max="5" width="11.85546875" style="1185" customWidth="1"/>
    <col min="6" max="6" width="10.7109375" style="1185" customWidth="1"/>
    <col min="7" max="7" width="15.7109375" style="1197" customWidth="1"/>
    <col min="8" max="8" width="17.28515625" style="1178" customWidth="1"/>
    <col min="9" max="9" width="17.42578125" style="1178" customWidth="1"/>
    <col min="10" max="16384" width="9.140625" style="1135"/>
  </cols>
  <sheetData>
    <row r="1" spans="1:11" ht="22.5">
      <c r="A1" s="1133" t="s">
        <v>1092</v>
      </c>
      <c r="B1" s="1157"/>
      <c r="C1" s="1157"/>
      <c r="D1" s="1157"/>
      <c r="E1" s="1176"/>
      <c r="F1" s="1176"/>
      <c r="G1" s="1176"/>
      <c r="H1" s="1177"/>
    </row>
    <row r="2" spans="1:11" ht="18.75">
      <c r="A2" s="407" t="str">
        <f>'Bia1'!D42&amp;'Bia1'!E42</f>
        <v>CÔNG TRÌNH: NHÀ BIỆT THỰ GXD</v>
      </c>
      <c r="B2" s="407"/>
      <c r="C2" s="407"/>
      <c r="D2" s="407"/>
      <c r="E2" s="1179"/>
      <c r="F2" s="1179"/>
      <c r="G2" s="1180"/>
      <c r="H2" s="1181"/>
    </row>
    <row r="3" spans="1:11" ht="18.75">
      <c r="A3" s="407" t="str">
        <f>'Bia1'!D43&amp;'Bia1'!E43</f>
        <v>HẠNG MỤC: ĐỔI BẢNG MÃ FONT RẤT ĐƠN GIẢN TRONG DỰ TOÁN GXD</v>
      </c>
      <c r="B3" s="407"/>
      <c r="C3" s="407"/>
      <c r="D3" s="407"/>
      <c r="E3" s="1179"/>
      <c r="F3" s="1179"/>
      <c r="G3" s="1182"/>
      <c r="H3" s="1183"/>
    </row>
    <row r="4" spans="1:11">
      <c r="A4" s="1158"/>
      <c r="B4" s="1158"/>
      <c r="C4" s="1184"/>
      <c r="D4" s="1158"/>
      <c r="G4" s="1186" t="s">
        <v>1093</v>
      </c>
    </row>
    <row r="5" spans="1:11" ht="37.5" customHeight="1">
      <c r="A5" s="1187" t="s">
        <v>660</v>
      </c>
      <c r="B5" s="1188" t="s">
        <v>327</v>
      </c>
      <c r="C5" s="1187" t="s">
        <v>330</v>
      </c>
      <c r="D5" s="1187" t="s">
        <v>304</v>
      </c>
      <c r="E5" s="1189" t="s">
        <v>328</v>
      </c>
      <c r="F5" s="1189" t="s">
        <v>305</v>
      </c>
      <c r="G5" s="1189" t="s">
        <v>306</v>
      </c>
      <c r="H5" s="1190" t="s">
        <v>1094</v>
      </c>
      <c r="I5" s="1190" t="s">
        <v>1095</v>
      </c>
    </row>
    <row r="6" spans="1:11">
      <c r="A6" s="1191" t="s">
        <v>908</v>
      </c>
      <c r="B6" s="1191" t="s">
        <v>911</v>
      </c>
      <c r="C6" s="1191" t="s">
        <v>912</v>
      </c>
      <c r="D6" s="1191" t="s">
        <v>913</v>
      </c>
      <c r="E6" s="1192" t="s">
        <v>914</v>
      </c>
      <c r="F6" s="1192" t="s">
        <v>915</v>
      </c>
      <c r="G6" s="1192" t="s">
        <v>917</v>
      </c>
      <c r="H6" s="1193" t="s">
        <v>918</v>
      </c>
      <c r="I6" s="1193" t="s">
        <v>923</v>
      </c>
    </row>
    <row r="7" spans="1:11">
      <c r="B7" s="1195"/>
      <c r="C7" s="1184"/>
      <c r="D7" s="1194"/>
      <c r="G7" s="1196"/>
      <c r="K7" s="1178"/>
    </row>
  </sheetData>
  <hyperlinks>
    <hyperlink ref="A1" location="MucLuc!A1" tooltip="Kích để về mục lục hoặc ấn F2 để sửa tên bảng" display="BẢNG PHÂN TÍCH VẬT TƯ DỰ THẦU"/>
  </hyperlinks>
  <printOptions horizontalCentered="1"/>
  <pageMargins left="0.75" right="0.25" top="0.5" bottom="0.5" header="0.25" footer="0.25"/>
  <pageSetup paperSize="9" orientation="portrait" r:id="rId1"/>
  <legacyDrawing r:id="rId2"/>
</worksheet>
</file>

<file path=xl/worksheets/sheet45.xml><?xml version="1.0" encoding="utf-8"?>
<worksheet xmlns="http://schemas.openxmlformats.org/spreadsheetml/2006/main" xmlns:r="http://schemas.openxmlformats.org/officeDocument/2006/relationships">
  <sheetPr codeName="shDCHDTB">
    <tabColor rgb="FFFFC000"/>
  </sheetPr>
  <dimension ref="B1:L60"/>
  <sheetViews>
    <sheetView workbookViewId="0">
      <selection activeCell="B31" sqref="B31"/>
    </sheetView>
  </sheetViews>
  <sheetFormatPr defaultRowHeight="15"/>
  <cols>
    <col min="1" max="1" width="3.140625" style="1135" customWidth="1"/>
    <col min="2" max="2" width="4.5703125" style="1135" customWidth="1"/>
    <col min="3" max="3" width="19.5703125" style="1135" customWidth="1"/>
    <col min="4" max="4" width="20.28515625" style="1135" customWidth="1"/>
    <col min="5" max="5" width="21.42578125" style="1135" customWidth="1"/>
    <col min="6" max="6" width="20.42578125" style="1135" customWidth="1"/>
    <col min="7" max="16384" width="9.140625" style="1135"/>
  </cols>
  <sheetData>
    <row r="1" spans="2:6" ht="19.5">
      <c r="B1" s="1133" t="s">
        <v>1046</v>
      </c>
      <c r="C1" s="1134"/>
      <c r="D1" s="1134"/>
      <c r="E1" s="1134"/>
      <c r="F1" s="1134"/>
    </row>
    <row r="3" spans="2:6">
      <c r="B3" s="371" t="s">
        <v>660</v>
      </c>
      <c r="C3" s="1358" t="s">
        <v>1047</v>
      </c>
      <c r="D3" s="1359"/>
      <c r="E3" s="1359"/>
      <c r="F3" s="371" t="s">
        <v>269</v>
      </c>
    </row>
    <row r="4" spans="2:6">
      <c r="B4" s="1136" t="s">
        <v>908</v>
      </c>
      <c r="C4" s="1360" t="s">
        <v>911</v>
      </c>
      <c r="D4" s="1361"/>
      <c r="E4" s="1361"/>
      <c r="F4" s="1136" t="s">
        <v>912</v>
      </c>
    </row>
    <row r="5" spans="2:6" ht="17.25">
      <c r="B5" s="1137" t="s">
        <v>173</v>
      </c>
      <c r="C5" s="1138" t="s">
        <v>1048</v>
      </c>
      <c r="D5" s="1139"/>
      <c r="E5" s="1139"/>
      <c r="F5" s="1200">
        <f ca="1">'Tong hop kinh phi'!G16</f>
        <v>128535781.68804762</v>
      </c>
    </row>
    <row r="6" spans="2:6" ht="16.5">
      <c r="B6" s="1140">
        <v>1</v>
      </c>
      <c r="C6" s="1141" t="s">
        <v>1049</v>
      </c>
      <c r="D6" s="1142"/>
      <c r="E6" s="1142"/>
      <c r="F6" s="1198">
        <f>'Tong hop kinh phi'!G7</f>
        <v>109606069.10259347</v>
      </c>
    </row>
    <row r="7" spans="2:6" ht="16.5">
      <c r="B7" s="1140">
        <v>2</v>
      </c>
      <c r="C7" s="1141" t="s">
        <v>1050</v>
      </c>
      <c r="D7" s="1142"/>
      <c r="E7" s="1142"/>
      <c r="F7" s="1143">
        <f>SUM(F8:F10)</f>
        <v>0</v>
      </c>
    </row>
    <row r="8" spans="2:6">
      <c r="B8" s="1144"/>
      <c r="C8" s="1145" t="s">
        <v>1051</v>
      </c>
      <c r="D8" s="1142"/>
      <c r="E8" s="1142"/>
      <c r="F8" s="1146">
        <f>'TH CP thiet bi'!F7</f>
        <v>0</v>
      </c>
    </row>
    <row r="9" spans="2:6">
      <c r="B9" s="1144"/>
      <c r="C9" s="1145" t="s">
        <v>1052</v>
      </c>
      <c r="D9" s="1142"/>
      <c r="E9" s="1142"/>
      <c r="F9" s="1146">
        <f>'TH CP thiet bi'!F8</f>
        <v>0</v>
      </c>
    </row>
    <row r="10" spans="2:6">
      <c r="B10" s="1144"/>
      <c r="C10" s="1145" t="s">
        <v>1053</v>
      </c>
      <c r="D10" s="1142"/>
      <c r="E10" s="1142"/>
      <c r="F10" s="1146">
        <f>'TH CP thiet bi'!F9</f>
        <v>0</v>
      </c>
    </row>
    <row r="11" spans="2:6" ht="16.5">
      <c r="B11" s="1140">
        <v>3</v>
      </c>
      <c r="C11" s="1141" t="s">
        <v>1054</v>
      </c>
      <c r="D11" s="1142"/>
      <c r="E11" s="1142"/>
      <c r="F11" s="1147">
        <f ca="1">F5-F6-F7</f>
        <v>18929712.585454151</v>
      </c>
    </row>
    <row r="12" spans="2:6">
      <c r="B12" s="1144"/>
      <c r="C12" s="1145" t="s">
        <v>1055</v>
      </c>
      <c r="D12" s="1142"/>
      <c r="E12" s="1142"/>
      <c r="F12" s="1143" t="e">
        <f>'Tong hop kinh phi'!#REF!</f>
        <v>#REF!</v>
      </c>
    </row>
    <row r="13" spans="2:6">
      <c r="B13" s="1144"/>
      <c r="C13" s="1145" t="s">
        <v>1056</v>
      </c>
      <c r="D13" s="1142"/>
      <c r="E13" s="1142"/>
      <c r="F13" s="1143" t="e">
        <f>SUM('Tong hop kinh phi'!#REF!)</f>
        <v>#REF!</v>
      </c>
    </row>
    <row r="14" spans="2:6">
      <c r="B14" s="1144"/>
      <c r="C14" s="1145" t="s">
        <v>1057</v>
      </c>
      <c r="D14" s="1142"/>
      <c r="E14" s="1142"/>
      <c r="F14" s="1143">
        <f ca="1">'Tong hop kinh phi'!G12</f>
        <v>2514961.0764995078</v>
      </c>
    </row>
    <row r="15" spans="2:6">
      <c r="B15" s="1148" t="s">
        <v>177</v>
      </c>
      <c r="C15" s="1149" t="s">
        <v>1058</v>
      </c>
      <c r="D15" s="1142"/>
      <c r="E15" s="1142"/>
      <c r="F15" s="1150"/>
    </row>
    <row r="16" spans="2:6" ht="16.5">
      <c r="B16" s="1140">
        <v>1</v>
      </c>
      <c r="C16" s="1141" t="s">
        <v>1059</v>
      </c>
      <c r="D16" s="1142"/>
      <c r="E16" s="1142"/>
      <c r="F16" s="1151">
        <f ca="1">IF(ISERROR(F6/$F$5),0,F6/$F$5)</f>
        <v>0.85272807044970578</v>
      </c>
    </row>
    <row r="17" spans="2:12" ht="16.5">
      <c r="B17" s="1140">
        <v>2</v>
      </c>
      <c r="C17" s="1141" t="s">
        <v>1060</v>
      </c>
      <c r="D17" s="1142"/>
      <c r="E17" s="1142"/>
      <c r="F17" s="1151">
        <f ca="1">IF(ISERROR(F7/$F$5),0,F7/$F$5)</f>
        <v>0</v>
      </c>
    </row>
    <row r="18" spans="2:12">
      <c r="B18" s="1144"/>
      <c r="C18" s="1145" t="s">
        <v>1061</v>
      </c>
      <c r="D18" s="1142"/>
      <c r="E18" s="1142"/>
      <c r="F18" s="1152"/>
    </row>
    <row r="19" spans="2:12">
      <c r="B19" s="1144"/>
      <c r="C19" s="1145" t="s">
        <v>1062</v>
      </c>
      <c r="D19" s="1142"/>
      <c r="E19" s="1142"/>
      <c r="F19" s="1153">
        <f>IF(ISERROR(F8/$F$7),0,F8/$F$7)</f>
        <v>0</v>
      </c>
    </row>
    <row r="20" spans="2:12">
      <c r="B20" s="1144"/>
      <c r="C20" s="1145" t="s">
        <v>1063</v>
      </c>
      <c r="D20" s="1142"/>
      <c r="E20" s="1142"/>
      <c r="F20" s="1153">
        <f>IF(ISERROR(F9/$F$7),0,F9/$F$7)</f>
        <v>0</v>
      </c>
    </row>
    <row r="21" spans="2:12">
      <c r="B21" s="1144"/>
      <c r="C21" s="1145" t="s">
        <v>1064</v>
      </c>
      <c r="D21" s="1142"/>
      <c r="E21" s="1142"/>
      <c r="F21" s="1153">
        <f>IF(ISERROR(F10/$F$7),0,F10/$F$7)</f>
        <v>0</v>
      </c>
    </row>
    <row r="22" spans="2:12" ht="16.5">
      <c r="B22" s="1140">
        <v>3</v>
      </c>
      <c r="C22" s="1141" t="s">
        <v>1065</v>
      </c>
      <c r="D22" s="1142"/>
      <c r="E22" s="1142"/>
      <c r="F22" s="1151">
        <f ca="1">IF(ISERROR(F11/$F$5),0,F11/$F$5)</f>
        <v>0.14727192955029425</v>
      </c>
    </row>
    <row r="23" spans="2:12">
      <c r="B23" s="1144"/>
      <c r="C23" s="1145" t="s">
        <v>1061</v>
      </c>
      <c r="D23" s="1142"/>
      <c r="E23" s="1142"/>
      <c r="F23" s="1152"/>
    </row>
    <row r="24" spans="2:12">
      <c r="B24" s="1144"/>
      <c r="C24" s="1145" t="s">
        <v>1066</v>
      </c>
      <c r="D24" s="1142"/>
      <c r="E24" s="1142"/>
      <c r="F24" s="1153">
        <f ca="1">IF(ISERROR(F12/$F$11),0,F12/$F$11)</f>
        <v>0</v>
      </c>
    </row>
    <row r="25" spans="2:12">
      <c r="B25" s="1144"/>
      <c r="C25" s="1145" t="s">
        <v>1067</v>
      </c>
      <c r="D25" s="1142"/>
      <c r="E25" s="1142"/>
      <c r="F25" s="1153">
        <f ca="1">IF(ISERROR(F13/$F$11),0,F13/$F$11)</f>
        <v>0</v>
      </c>
    </row>
    <row r="26" spans="2:12">
      <c r="B26" s="1144"/>
      <c r="C26" s="1145" t="s">
        <v>1068</v>
      </c>
      <c r="D26" s="1142"/>
      <c r="E26" s="1142"/>
      <c r="F26" s="1153">
        <f ca="1">IF(ISERROR(F14/$F$11),0,F14/$F$11)</f>
        <v>0.13285785851984028</v>
      </c>
    </row>
    <row r="27" spans="2:12">
      <c r="B27" s="1154"/>
      <c r="C27" s="1155"/>
      <c r="D27" s="1156"/>
      <c r="E27" s="1156"/>
      <c r="F27" s="1154"/>
    </row>
    <row r="30" spans="2:12" ht="27.75" customHeight="1">
      <c r="B30" s="1133" t="s">
        <v>1069</v>
      </c>
      <c r="C30" s="1157"/>
      <c r="D30" s="1157"/>
      <c r="E30" s="1134"/>
      <c r="F30" s="1134"/>
      <c r="G30" s="1158"/>
      <c r="H30" s="1158"/>
      <c r="I30" s="1158"/>
      <c r="J30" s="1158"/>
      <c r="K30" s="1159"/>
      <c r="L30" s="1160"/>
    </row>
    <row r="31" spans="2:12" ht="18.75">
      <c r="B31" s="407" t="str">
        <f>'Bia1'!D42&amp;'Bia1'!E42</f>
        <v>CÔNG TRÌNH: NHÀ BIỆT THỰ GXD</v>
      </c>
      <c r="C31" s="407"/>
      <c r="D31" s="407"/>
      <c r="E31" s="1134"/>
      <c r="F31" s="1134"/>
      <c r="G31" s="1158"/>
      <c r="H31" s="1158"/>
      <c r="I31" s="1158"/>
      <c r="J31" s="1158"/>
    </row>
    <row r="32" spans="2:12" ht="18.75">
      <c r="B32" s="407" t="str">
        <f>'Bia2'!D43&amp;'Bia2'!E43</f>
        <v>HẠNG MỤC: ĐỔI BẢNG MÃ FONT RẤT ĐƠN GIẢN TRONG DỰ TOÁN GXD</v>
      </c>
      <c r="C32" s="407"/>
      <c r="D32" s="407"/>
      <c r="E32" s="1134"/>
      <c r="F32" s="1134"/>
      <c r="G32" s="1158"/>
      <c r="H32" s="1158"/>
      <c r="I32" s="1158"/>
      <c r="J32" s="1158"/>
    </row>
    <row r="34" spans="2:6">
      <c r="B34" s="1161" t="s">
        <v>1070</v>
      </c>
      <c r="E34" s="1162"/>
    </row>
    <row r="35" spans="2:6" ht="20.100000000000001" customHeight="1">
      <c r="B35" s="1161"/>
      <c r="C35" s="1163" t="s">
        <v>1071</v>
      </c>
      <c r="E35" s="1201">
        <v>1</v>
      </c>
    </row>
    <row r="36" spans="2:6" ht="20.100000000000001" customHeight="1">
      <c r="B36" s="1161"/>
      <c r="C36" s="1163" t="s">
        <v>1072</v>
      </c>
      <c r="E36" s="1201">
        <v>1</v>
      </c>
    </row>
    <row r="37" spans="2:6" ht="20.100000000000001" customHeight="1">
      <c r="B37" s="1161"/>
      <c r="C37" s="1163" t="s">
        <v>1073</v>
      </c>
      <c r="E37" s="1201">
        <v>1</v>
      </c>
    </row>
    <row r="38" spans="2:6" ht="20.100000000000001" customHeight="1">
      <c r="B38" s="1161"/>
      <c r="C38" s="1163" t="s">
        <v>1074</v>
      </c>
      <c r="E38" s="1201">
        <v>0</v>
      </c>
      <c r="F38" s="1163"/>
    </row>
    <row r="39" spans="2:6" ht="19.5" customHeight="1">
      <c r="C39" s="1163" t="s">
        <v>1075</v>
      </c>
      <c r="E39" s="1201">
        <v>0</v>
      </c>
    </row>
    <row r="40" spans="2:6" ht="18.75" customHeight="1">
      <c r="C40" s="1163" t="s">
        <v>1076</v>
      </c>
      <c r="E40" s="1201">
        <f>E35+E36+E37</f>
        <v>3</v>
      </c>
    </row>
    <row r="42" spans="2:6">
      <c r="B42" s="1164" t="s">
        <v>1077</v>
      </c>
    </row>
    <row r="44" spans="2:6" ht="38.25" customHeight="1">
      <c r="B44" s="1165" t="s">
        <v>660</v>
      </c>
      <c r="C44" s="1166" t="s">
        <v>1078</v>
      </c>
      <c r="D44" s="1166" t="s">
        <v>1079</v>
      </c>
      <c r="E44" s="1166" t="s">
        <v>1080</v>
      </c>
      <c r="F44" s="1166" t="s">
        <v>1081</v>
      </c>
    </row>
    <row r="45" spans="2:6" ht="14.25" customHeight="1">
      <c r="B45" s="1167">
        <v>1</v>
      </c>
      <c r="C45" s="1168" t="s">
        <v>1082</v>
      </c>
      <c r="D45" s="1168" t="s">
        <v>1083</v>
      </c>
      <c r="E45" s="1168" t="s">
        <v>1084</v>
      </c>
      <c r="F45" s="1169" t="s">
        <v>1085</v>
      </c>
    </row>
    <row r="46" spans="2:6">
      <c r="B46" s="1170">
        <v>2</v>
      </c>
      <c r="C46" s="1171">
        <f>1-(D46+E46+F46)</f>
        <v>1</v>
      </c>
      <c r="D46" s="1171">
        <f>IF(E39=0,0,E36/E39)</f>
        <v>0</v>
      </c>
      <c r="E46" s="1171">
        <f>IF(E39=0,0,E37/E39)</f>
        <v>0</v>
      </c>
      <c r="F46" s="1172">
        <f>IF(E39=0,0,E35/E39)</f>
        <v>0</v>
      </c>
    </row>
    <row r="49" spans="2:6">
      <c r="B49" s="1164" t="s">
        <v>1086</v>
      </c>
    </row>
    <row r="51" spans="2:6" ht="24">
      <c r="B51" s="1165" t="s">
        <v>660</v>
      </c>
      <c r="C51" s="1166" t="s">
        <v>1078</v>
      </c>
      <c r="D51" s="1166" t="s">
        <v>1079</v>
      </c>
      <c r="E51" s="1166" t="s">
        <v>1080</v>
      </c>
      <c r="F51" s="1166" t="s">
        <v>1081</v>
      </c>
    </row>
    <row r="52" spans="2:6">
      <c r="B52" s="1167">
        <v>1</v>
      </c>
      <c r="C52" s="1168" t="s">
        <v>1087</v>
      </c>
      <c r="D52" s="1168" t="s">
        <v>1088</v>
      </c>
      <c r="E52" s="1168" t="s">
        <v>1089</v>
      </c>
      <c r="F52" s="1169" t="s">
        <v>1090</v>
      </c>
    </row>
    <row r="53" spans="2:6">
      <c r="B53" s="1173">
        <v>2</v>
      </c>
      <c r="C53" s="1174">
        <f>IF(E39=0,0,1-E40/E39*(1-E38))</f>
        <v>0</v>
      </c>
      <c r="D53" s="1174">
        <f>E36/E40*(1-C53)</f>
        <v>0.33333333333333331</v>
      </c>
      <c r="E53" s="1174">
        <f>E37/E40*(1-C53)</f>
        <v>0.33333333333333331</v>
      </c>
      <c r="F53" s="1175">
        <f>E35/E40*(1-C53)</f>
        <v>0.33333333333333331</v>
      </c>
    </row>
    <row r="56" spans="2:6">
      <c r="B56" s="1164" t="s">
        <v>1091</v>
      </c>
    </row>
    <row r="58" spans="2:6" ht="24">
      <c r="B58" s="1165" t="s">
        <v>660</v>
      </c>
      <c r="C58" s="1166" t="s">
        <v>1078</v>
      </c>
      <c r="D58" s="1166" t="s">
        <v>1079</v>
      </c>
      <c r="E58" s="1166" t="s">
        <v>1080</v>
      </c>
      <c r="F58" s="1166" t="s">
        <v>1081</v>
      </c>
    </row>
    <row r="59" spans="2:6">
      <c r="B59" s="1167">
        <v>1</v>
      </c>
      <c r="C59" s="1168"/>
      <c r="D59" s="1168" t="s">
        <v>1088</v>
      </c>
      <c r="E59" s="1168" t="s">
        <v>1089</v>
      </c>
      <c r="F59" s="1169" t="s">
        <v>1090</v>
      </c>
    </row>
    <row r="60" spans="2:6" ht="15" customHeight="1">
      <c r="B60" s="1173">
        <v>2</v>
      </c>
      <c r="C60" s="1174"/>
      <c r="D60" s="1174">
        <f>E36/E40*(1-C60)</f>
        <v>0.33333333333333331</v>
      </c>
      <c r="E60" s="1174">
        <f>E37/E40*(1-C60)</f>
        <v>0.33333333333333331</v>
      </c>
      <c r="F60" s="1175">
        <f>E35/E40*(1-C60)</f>
        <v>0.33333333333333331</v>
      </c>
    </row>
  </sheetData>
  <mergeCells count="2">
    <mergeCell ref="C3:E3"/>
    <mergeCell ref="C4:E4"/>
  </mergeCells>
  <hyperlinks>
    <hyperlink ref="B30" location="MucLuc!A1" tooltip="Kích để về mục lục hoặc ấn F2 để sửa tên bảng" display="BẢNG PHÂN TÍCH VẬT TƯ DỰ THẦU"/>
  </hyperlinks>
  <pageMargins left="0.7" right="0.7" top="0.75" bottom="0.75" header="0.3" footer="0.3"/>
  <pageSetup orientation="portrait" r:id="rId1"/>
  <legacyDrawing r:id="rId2"/>
</worksheet>
</file>

<file path=xl/worksheets/sheet46.xml><?xml version="1.0" encoding="utf-8"?>
<worksheet xmlns="http://schemas.openxmlformats.org/spreadsheetml/2006/main" xmlns:r="http://schemas.openxmlformats.org/officeDocument/2006/relationships">
  <sheetPr codeName="shDTDTTB">
    <tabColor rgb="FFFF0000"/>
  </sheetPr>
  <dimension ref="A1:S6"/>
  <sheetViews>
    <sheetView zoomScale="115" zoomScaleNormal="85" workbookViewId="0">
      <selection activeCell="A3" sqref="A3"/>
    </sheetView>
  </sheetViews>
  <sheetFormatPr defaultColWidth="9" defaultRowHeight="15.75"/>
  <cols>
    <col min="1" max="1" width="4" style="39" customWidth="1"/>
    <col min="2" max="2" width="10.7109375" style="34" customWidth="1"/>
    <col min="3" max="3" width="32.7109375" style="35" customWidth="1"/>
    <col min="4" max="4" width="7" style="359" bestFit="1" customWidth="1"/>
    <col min="5" max="5" width="11.28515625" style="360" customWidth="1"/>
    <col min="6" max="6" width="11.7109375" style="367" customWidth="1"/>
    <col min="7" max="7" width="14.7109375" style="367" customWidth="1"/>
    <col min="8" max="19" width="9" style="367" hidden="1" customWidth="1"/>
    <col min="20" max="16384" width="9" style="28"/>
  </cols>
  <sheetData>
    <row r="1" spans="1:19" ht="27.95" customHeight="1">
      <c r="A1" s="2" t="s">
        <v>620</v>
      </c>
      <c r="B1" s="369"/>
      <c r="C1" s="352"/>
      <c r="D1" s="352"/>
      <c r="E1" s="353"/>
      <c r="F1" s="365"/>
      <c r="G1" s="365"/>
    </row>
    <row r="2" spans="1:19" ht="20.100000000000001" customHeight="1">
      <c r="A2" s="3" t="str">
        <f>'Bia1'!D42&amp;'Bia1'!E42</f>
        <v>CÔNG TRÌNH: NHÀ BIỆT THỰ GXD</v>
      </c>
      <c r="B2" s="370"/>
      <c r="C2" s="355"/>
      <c r="D2" s="355"/>
      <c r="E2" s="356"/>
      <c r="F2" s="366"/>
      <c r="G2" s="366"/>
    </row>
    <row r="3" spans="1:19" ht="20.100000000000001" customHeight="1">
      <c r="A3" s="3" t="str">
        <f>'Bia2'!D43&amp;'Bia2'!E43</f>
        <v>HẠNG MỤC: ĐỔI BẢNG MÃ FONT RẤT ĐƠN GIẢN TRONG DỰ TOÁN GXD</v>
      </c>
      <c r="B3" s="370"/>
      <c r="C3" s="355"/>
      <c r="D3" s="355"/>
      <c r="E3" s="356"/>
      <c r="F3" s="366"/>
      <c r="G3" s="366"/>
    </row>
    <row r="4" spans="1:19">
      <c r="A4" s="28"/>
      <c r="B4" s="358"/>
    </row>
    <row r="5" spans="1:19" s="411" customFormat="1" ht="20.100000000000001" customHeight="1">
      <c r="A5" s="1001" t="s">
        <v>660</v>
      </c>
      <c r="B5" s="485" t="s">
        <v>302</v>
      </c>
      <c r="C5" s="442" t="s">
        <v>303</v>
      </c>
      <c r="D5" s="442" t="s">
        <v>304</v>
      </c>
      <c r="E5" s="483" t="s">
        <v>328</v>
      </c>
      <c r="F5" s="484" t="s">
        <v>305</v>
      </c>
      <c r="G5" s="484" t="s">
        <v>306</v>
      </c>
      <c r="H5" s="484" t="s">
        <v>877</v>
      </c>
      <c r="I5" s="484" t="s">
        <v>880</v>
      </c>
      <c r="J5" s="484" t="s">
        <v>878</v>
      </c>
      <c r="K5" s="484" t="s">
        <v>879</v>
      </c>
      <c r="L5" s="484" t="s">
        <v>9</v>
      </c>
      <c r="M5" s="484" t="s">
        <v>288</v>
      </c>
      <c r="N5" s="484" t="s">
        <v>277</v>
      </c>
      <c r="O5" s="484" t="s">
        <v>186</v>
      </c>
      <c r="P5" s="484" t="s">
        <v>293</v>
      </c>
      <c r="Q5" s="484" t="s">
        <v>295</v>
      </c>
      <c r="R5" s="484" t="s">
        <v>881</v>
      </c>
      <c r="S5" s="484" t="s">
        <v>882</v>
      </c>
    </row>
    <row r="6" spans="1:19">
      <c r="A6" s="872" t="s">
        <v>908</v>
      </c>
      <c r="B6" s="872" t="s">
        <v>911</v>
      </c>
      <c r="C6" s="872" t="s">
        <v>912</v>
      </c>
      <c r="D6" s="872" t="s">
        <v>913</v>
      </c>
      <c r="E6" s="872" t="s">
        <v>914</v>
      </c>
      <c r="F6" s="872" t="s">
        <v>915</v>
      </c>
      <c r="G6" s="872" t="s">
        <v>944</v>
      </c>
    </row>
  </sheetData>
  <phoneticPr fontId="87" type="noConversion"/>
  <conditionalFormatting sqref="G6">
    <cfRule type="cellIs" dxfId="4" priority="1" stopIfTrue="1" operator="greaterThan">
      <formula>F6</formula>
    </cfRule>
    <cfRule type="cellIs" dxfId="3" priority="2" stopIfTrue="1" operator="lessThan">
      <formula>F6</formula>
    </cfRule>
  </conditionalFormatting>
  <dataValidations count="1">
    <dataValidation allowBlank="1" showInputMessage="1" showErrorMessage="1" sqref="B6"/>
  </dataValidations>
  <hyperlinks>
    <hyperlink ref="A1" location="'DGCT TB'!A1" tooltip="Về bảng đơn giá chi tiết lắp đặt thiết bị" display="BẢNG DỰ TOÁN DỰ THẦU LẮP ĐẶT THIẾT BỊ"/>
  </hyperlinks>
  <printOptions horizontalCentered="1"/>
  <pageMargins left="0.70866141732283472" right="0.31496062992125984" top="0.74803149606299213" bottom="0.74803149606299213" header="0.31496062992125984" footer="0.31496062992125984"/>
  <pageSetup paperSize="9" orientation="portrait" horizontalDpi="300" verticalDpi="300" r:id="rId1"/>
  <headerFooter>
    <oddHeader>&amp;L&amp;"+,nghiêng"&amp;10Dự toán GXD - www.giaxaydung.vn</oddHeader>
    <oddFooter>&amp;C&amp;P</oddFooter>
  </headerFooter>
  <ignoredErrors>
    <ignoredError sqref="A2:A3" unlockedFormula="1"/>
  </ignoredErrors>
</worksheet>
</file>

<file path=xl/worksheets/sheet47.xml><?xml version="1.0" encoding="utf-8"?>
<worksheet xmlns="http://schemas.openxmlformats.org/spreadsheetml/2006/main" xmlns:r="http://schemas.openxmlformats.org/officeDocument/2006/relationships">
  <sheetPr codeName="shVCLCTB" enableFormatConditionsCalculation="0">
    <tabColor indexed="58"/>
  </sheetPr>
  <dimension ref="A1:E6"/>
  <sheetViews>
    <sheetView workbookViewId="0">
      <selection activeCell="A3" sqref="A3"/>
    </sheetView>
  </sheetViews>
  <sheetFormatPr defaultColWidth="9" defaultRowHeight="15.75"/>
  <cols>
    <col min="1" max="1" width="4.140625" style="39" customWidth="1"/>
    <col min="2" max="2" width="10" style="35" customWidth="1"/>
    <col min="3" max="3" width="49.42578125" style="35" customWidth="1"/>
    <col min="4" max="4" width="8.42578125" style="359" customWidth="1"/>
    <col min="5" max="5" width="14.42578125" style="360" customWidth="1"/>
    <col min="6" max="16384" width="9" style="28"/>
  </cols>
  <sheetData>
    <row r="1" spans="1:5" ht="30" customHeight="1">
      <c r="A1" s="2" t="s">
        <v>531</v>
      </c>
      <c r="B1" s="364"/>
      <c r="C1" s="352"/>
      <c r="D1" s="352"/>
      <c r="E1" s="353"/>
    </row>
    <row r="2" spans="1:5" ht="18" customHeight="1">
      <c r="A2" s="3" t="str">
        <f>'Bia1'!D42&amp;'Bia1'!E42</f>
        <v>CÔNG TRÌNH: NHÀ BIỆT THỰ GXD</v>
      </c>
      <c r="B2" s="410"/>
      <c r="C2" s="352"/>
      <c r="D2" s="352"/>
      <c r="E2" s="353"/>
    </row>
    <row r="3" spans="1:5" ht="18" customHeight="1">
      <c r="A3" s="3" t="str">
        <f>'Bia2'!D43&amp;'Bia2'!E43</f>
        <v>HẠNG MỤC: ĐỔI BẢNG MÃ FONT RẤT ĐƠN GIẢN TRONG DỰ TOÁN GXD</v>
      </c>
      <c r="B3" s="410"/>
      <c r="C3" s="352"/>
      <c r="D3" s="352"/>
      <c r="E3" s="353"/>
    </row>
    <row r="4" spans="1:5">
      <c r="A4" s="28"/>
    </row>
    <row r="5" spans="1:5" ht="24.75" customHeight="1">
      <c r="A5" s="1001" t="s">
        <v>660</v>
      </c>
      <c r="B5" s="1018" t="s">
        <v>302</v>
      </c>
      <c r="C5" s="1018" t="s">
        <v>330</v>
      </c>
      <c r="D5" s="1018" t="s">
        <v>304</v>
      </c>
      <c r="E5" s="1024" t="s">
        <v>328</v>
      </c>
    </row>
    <row r="6" spans="1:5">
      <c r="A6" s="872" t="s">
        <v>908</v>
      </c>
      <c r="B6" s="872" t="s">
        <v>911</v>
      </c>
      <c r="C6" s="872" t="s">
        <v>912</v>
      </c>
      <c r="D6" s="872" t="s">
        <v>913</v>
      </c>
      <c r="E6" s="872" t="s">
        <v>914</v>
      </c>
    </row>
  </sheetData>
  <phoneticPr fontId="87" type="noConversion"/>
  <dataValidations count="1">
    <dataValidation allowBlank="1" showInputMessage="1" showErrorMessage="1" sqref="B6"/>
  </dataValidations>
  <hyperlinks>
    <hyperlink ref="A1" location="ML!A1" tooltip="Về mục lục" display="BẢNG TỔNG HỢP VẬT TƯ VẬN CHUYỂN LÊN CAO"/>
  </hyperlinks>
  <printOptions horizontalCentered="1"/>
  <pageMargins left="0.70866141732283472" right="0.31496062992125984" top="0.74803149606299213" bottom="0.74803149606299213" header="0.31496062992125984" footer="0.31496062992125984"/>
  <pageSetup paperSize="9" orientation="portrait" horizontalDpi="300" verticalDpi="300" r:id="rId1"/>
  <headerFooter>
    <oddHeader>&amp;L&amp;"+,nghiêng"&amp;10Dự toán GXD - www.giaxaydung.vn</oddHeader>
    <oddFooter>&amp;C&amp;P</oddFooter>
  </headerFooter>
  <ignoredErrors>
    <ignoredError sqref="A2:A3" unlockedFormula="1"/>
  </ignoredErrors>
</worksheet>
</file>

<file path=xl/worksheets/sheet48.xml><?xml version="1.0" encoding="utf-8"?>
<worksheet xmlns="http://schemas.openxmlformats.org/spreadsheetml/2006/main" xmlns:r="http://schemas.openxmlformats.org/officeDocument/2006/relationships">
  <sheetPr codeName="shGVTTB" enableFormatConditionsCalculation="0">
    <tabColor indexed="58"/>
  </sheetPr>
  <dimension ref="A1:I7"/>
  <sheetViews>
    <sheetView showZeros="0" workbookViewId="0">
      <selection activeCell="A3" sqref="A3"/>
    </sheetView>
  </sheetViews>
  <sheetFormatPr defaultColWidth="9" defaultRowHeight="15.75"/>
  <cols>
    <col min="1" max="1" width="4.140625" style="39" customWidth="1"/>
    <col min="2" max="2" width="8.5703125" style="508" customWidth="1"/>
    <col min="3" max="3" width="32.7109375" style="612" customWidth="1"/>
    <col min="4" max="4" width="7.85546875" style="359" customWidth="1"/>
    <col min="5" max="5" width="13.28515625" style="360" customWidth="1"/>
    <col min="6" max="7" width="12.7109375" style="367" customWidth="1"/>
    <col min="8" max="9" width="9" style="28" hidden="1" customWidth="1"/>
    <col min="10" max="10" width="9" style="28" customWidth="1"/>
    <col min="11" max="16384" width="9" style="28"/>
  </cols>
  <sheetData>
    <row r="1" spans="1:7" ht="27.95" customHeight="1">
      <c r="A1" s="2" t="s">
        <v>621</v>
      </c>
      <c r="B1" s="615"/>
      <c r="C1" s="352"/>
      <c r="D1" s="352"/>
      <c r="E1" s="353"/>
      <c r="F1" s="365"/>
      <c r="G1" s="365"/>
    </row>
    <row r="2" spans="1:7" ht="20.100000000000001" customHeight="1">
      <c r="A2" s="3" t="str">
        <f>'Bia1'!D42&amp;'Bia1'!E42</f>
        <v>CÔNG TRÌNH: NHÀ BIỆT THỰ GXD</v>
      </c>
      <c r="B2" s="615"/>
      <c r="C2" s="355"/>
      <c r="D2" s="355"/>
      <c r="E2" s="356"/>
      <c r="F2" s="366"/>
      <c r="G2" s="366"/>
    </row>
    <row r="3" spans="1:7" ht="20.100000000000001" customHeight="1">
      <c r="A3" s="3" t="str">
        <f>'Bia2'!D43&amp;'Bia2'!E43</f>
        <v>HẠNG MỤC: ĐỔI BẢNG MÃ FONT RẤT ĐƠN GIẢN TRONG DỰ TOÁN GXD</v>
      </c>
      <c r="B3" s="615"/>
      <c r="C3" s="355"/>
      <c r="D3" s="355"/>
      <c r="E3" s="356"/>
      <c r="F3" s="366"/>
      <c r="G3" s="366"/>
    </row>
    <row r="4" spans="1:7">
      <c r="A4" s="28"/>
      <c r="G4" s="280" t="s">
        <v>956</v>
      </c>
    </row>
    <row r="5" spans="1:7" ht="26.25" customHeight="1">
      <c r="A5" s="1001" t="s">
        <v>660</v>
      </c>
      <c r="B5" s="1022" t="s">
        <v>302</v>
      </c>
      <c r="C5" s="1022" t="s">
        <v>330</v>
      </c>
      <c r="D5" s="1022" t="s">
        <v>304</v>
      </c>
      <c r="E5" s="1022" t="s">
        <v>328</v>
      </c>
      <c r="F5" s="1022" t="s">
        <v>305</v>
      </c>
      <c r="G5" s="1022" t="s">
        <v>306</v>
      </c>
    </row>
    <row r="6" spans="1:7">
      <c r="A6" s="1222" t="s">
        <v>908</v>
      </c>
      <c r="B6" s="1229" t="s">
        <v>911</v>
      </c>
      <c r="C6" s="1228" t="s">
        <v>912</v>
      </c>
      <c r="D6" s="1228" t="s">
        <v>913</v>
      </c>
      <c r="E6" s="1230" t="s">
        <v>914</v>
      </c>
      <c r="F6" s="1231" t="s">
        <v>915</v>
      </c>
      <c r="G6" s="1231" t="s">
        <v>944</v>
      </c>
    </row>
    <row r="7" spans="1:7">
      <c r="C7" s="824"/>
    </row>
  </sheetData>
  <phoneticPr fontId="87" type="noConversion"/>
  <dataValidations count="1">
    <dataValidation allowBlank="1" showInputMessage="1" showErrorMessage="1" sqref="B6"/>
  </dataValidations>
  <hyperlinks>
    <hyperlink ref="A1" location="'DGCT TB'!A1" tooltip="Về bảng đơn giá lắp đặt thiết bị" display="BẢNG GIÁ TRỊ VẬT TƯ LẮP ĐẶT THIẾT BỊ"/>
  </hyperlinks>
  <printOptions horizontalCentered="1"/>
  <pageMargins left="0.70866141732283472" right="0.31496062992125984" top="0.74803149606299213" bottom="0.74803149606299213" header="0.31496062992125984" footer="0.31496062992125984"/>
  <pageSetup paperSize="9" orientation="portrait" horizontalDpi="300" verticalDpi="300" r:id="rId1"/>
  <headerFooter>
    <oddHeader>&amp;L&amp;"+,nghiêng"&amp;10Dự toán GXD - www.giaxaydung.vn</oddHeader>
    <oddFooter>&amp;C&amp;P</oddFooter>
  </headerFooter>
  <ignoredErrors>
    <ignoredError sqref="A2:A3" unlockedFormula="1"/>
  </ignoredErrors>
</worksheet>
</file>

<file path=xl/worksheets/sheet49.xml><?xml version="1.0" encoding="utf-8"?>
<worksheet xmlns="http://schemas.openxmlformats.org/spreadsheetml/2006/main" xmlns:r="http://schemas.openxmlformats.org/officeDocument/2006/relationships">
  <sheetPr codeName="shTDTCTB">
    <tabColor theme="6" tint="-0.249977111117893"/>
  </sheetPr>
  <dimension ref="A1:J6"/>
  <sheetViews>
    <sheetView workbookViewId="0">
      <selection activeCell="A3" sqref="A3"/>
    </sheetView>
  </sheetViews>
  <sheetFormatPr defaultColWidth="9" defaultRowHeight="15"/>
  <cols>
    <col min="1" max="1" width="4.28515625" style="420" customWidth="1"/>
    <col min="2" max="2" width="9.7109375" style="421" customWidth="1"/>
    <col min="3" max="3" width="36.28515625" style="422" customWidth="1"/>
    <col min="4" max="4" width="7.85546875" style="418" customWidth="1"/>
    <col min="5" max="5" width="12.42578125" style="420" customWidth="1"/>
    <col min="6" max="10" width="9" style="420"/>
    <col min="11" max="16384" width="9" style="138"/>
  </cols>
  <sheetData>
    <row r="1" spans="1:10" ht="22.5">
      <c r="A1" s="492" t="s">
        <v>636</v>
      </c>
      <c r="B1" s="412"/>
      <c r="C1" s="413"/>
      <c r="D1" s="413"/>
      <c r="E1" s="414"/>
      <c r="F1" s="415"/>
      <c r="G1" s="415"/>
      <c r="H1" s="415"/>
      <c r="I1" s="415"/>
      <c r="J1" s="415"/>
    </row>
    <row r="2" spans="1:10" ht="15.75">
      <c r="A2" s="3" t="str">
        <f>'Bia1'!D42&amp;'Bia1'!E42</f>
        <v>CÔNG TRÌNH: NHÀ BIỆT THỰ GXD</v>
      </c>
      <c r="B2" s="416"/>
      <c r="C2" s="413"/>
      <c r="D2" s="413"/>
      <c r="E2" s="414"/>
      <c r="F2" s="415"/>
      <c r="G2" s="415"/>
      <c r="H2" s="415"/>
      <c r="I2" s="415"/>
      <c r="J2" s="415"/>
    </row>
    <row r="3" spans="1:10" ht="15.75">
      <c r="A3" s="3" t="str">
        <f>'Bia2'!D43&amp;'Bia2'!E43</f>
        <v>HẠNG MỤC: ĐỔI BẢNG MÃ FONT RẤT ĐƠN GIẢN TRONG DỰ TOÁN GXD</v>
      </c>
      <c r="B3" s="416"/>
      <c r="C3" s="413"/>
      <c r="D3" s="413"/>
      <c r="E3" s="414"/>
      <c r="F3" s="415"/>
      <c r="G3" s="415"/>
      <c r="H3" s="415"/>
      <c r="I3" s="415"/>
      <c r="J3" s="415"/>
    </row>
    <row r="4" spans="1:10" ht="15.75">
      <c r="A4" s="417"/>
      <c r="B4" s="416"/>
      <c r="C4" s="413"/>
      <c r="E4" s="414"/>
      <c r="F4" s="415"/>
      <c r="G4" s="415"/>
      <c r="H4" s="415"/>
      <c r="I4" s="415"/>
      <c r="J4" s="415"/>
    </row>
    <row r="5" spans="1:10" ht="23.25" customHeight="1">
      <c r="A5" s="1437" t="s">
        <v>660</v>
      </c>
      <c r="B5" s="1439" t="s">
        <v>302</v>
      </c>
      <c r="C5" s="1441" t="s">
        <v>303</v>
      </c>
      <c r="D5" s="1441" t="s">
        <v>304</v>
      </c>
      <c r="E5" s="1434" t="s">
        <v>532</v>
      </c>
      <c r="F5" s="1436" t="s">
        <v>637</v>
      </c>
      <c r="G5" s="1436"/>
      <c r="H5" s="1436"/>
      <c r="I5" s="1436"/>
      <c r="J5" s="1436"/>
    </row>
    <row r="6" spans="1:10" ht="15" customHeight="1">
      <c r="A6" s="1438"/>
      <c r="B6" s="1440"/>
      <c r="C6" s="1442"/>
      <c r="D6" s="1442"/>
      <c r="E6" s="1435"/>
      <c r="F6" s="1056" t="s">
        <v>534</v>
      </c>
      <c r="G6" s="1056" t="s">
        <v>535</v>
      </c>
      <c r="H6" s="1056" t="s">
        <v>536</v>
      </c>
      <c r="I6" s="1056" t="s">
        <v>537</v>
      </c>
      <c r="J6" s="1056" t="s">
        <v>538</v>
      </c>
    </row>
  </sheetData>
  <mergeCells count="6">
    <mergeCell ref="E5:E6"/>
    <mergeCell ref="F5:J5"/>
    <mergeCell ref="A5:A6"/>
    <mergeCell ref="B5:B6"/>
    <mergeCell ref="C5:C6"/>
    <mergeCell ref="D5:D6"/>
  </mergeCells>
  <phoneticPr fontId="87" type="noConversion"/>
  <printOptions horizontalCentered="1"/>
  <pageMargins left="0.75" right="0.25" top="0.5" bottom="0.5" header="0.25" footer="0.25"/>
  <pageSetup paperSize="9" orientation="landscape" blackAndWhite="1" horizontalDpi="300" verticalDpi="300" r:id="rId1"/>
  <headerFooter>
    <oddHeader>&amp;L&amp;"+,nghiêng"&amp;10Dự toán GXD - www.giaxaydung.vn</oddHeader>
    <oddFooter>&amp;C&amp;P</oddFooter>
  </headerFooter>
  <ignoredErrors>
    <ignoredError sqref="A2:A3" unlockedFormula="1"/>
  </ignoredErrors>
</worksheet>
</file>

<file path=xl/worksheets/sheet5.xml><?xml version="1.0" encoding="utf-8"?>
<worksheet xmlns="http://schemas.openxmlformats.org/spreadsheetml/2006/main" xmlns:r="http://schemas.openxmlformats.org/officeDocument/2006/relationships">
  <sheetPr codeName="Sheet3"/>
  <dimension ref="A1:G126"/>
  <sheetViews>
    <sheetView zoomScale="85" zoomScaleNormal="85" workbookViewId="0">
      <selection activeCell="B21" sqref="B21"/>
    </sheetView>
  </sheetViews>
  <sheetFormatPr defaultRowHeight="15.75"/>
  <cols>
    <col min="1" max="1" width="5.28515625" style="904" customWidth="1"/>
    <col min="2" max="2" width="48.7109375" style="904" customWidth="1"/>
    <col min="3" max="4" width="25.7109375" style="904" customWidth="1"/>
    <col min="5" max="5" width="23.7109375" style="904" customWidth="1"/>
    <col min="6" max="16384" width="9.140625" style="904"/>
  </cols>
  <sheetData>
    <row r="1" spans="1:7" ht="26.25" customHeight="1">
      <c r="A1" s="907" t="s">
        <v>960</v>
      </c>
      <c r="B1" s="901"/>
      <c r="C1" s="901"/>
      <c r="D1" s="901"/>
      <c r="E1" s="901"/>
      <c r="F1" s="903"/>
      <c r="G1" s="903"/>
    </row>
    <row r="2" spans="1:7" ht="18.75" customHeight="1" thickBot="1">
      <c r="A2" s="906" t="s">
        <v>961</v>
      </c>
      <c r="B2" s="902"/>
      <c r="C2" s="902"/>
      <c r="D2" s="902"/>
      <c r="E2" s="902"/>
      <c r="F2" s="903"/>
      <c r="G2" s="903"/>
    </row>
    <row r="3" spans="1:7" ht="16.5" thickTop="1">
      <c r="A3" s="901"/>
      <c r="B3" s="901"/>
      <c r="C3" s="901"/>
      <c r="D3" s="901"/>
      <c r="E3" s="901"/>
      <c r="F3" s="903"/>
      <c r="G3" s="903"/>
    </row>
    <row r="4" spans="1:7" ht="22.5">
      <c r="A4" s="905" t="s">
        <v>966</v>
      </c>
      <c r="B4" s="901"/>
      <c r="C4" s="901"/>
      <c r="D4" s="901"/>
      <c r="E4" s="901"/>
      <c r="F4" s="903"/>
      <c r="G4" s="903"/>
    </row>
    <row r="5" spans="1:7">
      <c r="A5" s="903"/>
      <c r="B5" s="903"/>
      <c r="C5" s="903"/>
      <c r="D5" s="903"/>
      <c r="E5" s="903"/>
      <c r="F5" s="903"/>
      <c r="G5" s="903"/>
    </row>
    <row r="6" spans="1:7">
      <c r="A6" s="914" t="str">
        <f>'Bia1'!D42&amp;'Bia1'!E42</f>
        <v>CÔNG TRÌNH: NHÀ BIỆT THỰ GXD</v>
      </c>
      <c r="B6" s="901"/>
      <c r="C6" s="901"/>
      <c r="D6" s="901"/>
      <c r="E6" s="901"/>
      <c r="F6" s="903"/>
      <c r="G6" s="903"/>
    </row>
    <row r="7" spans="1:7">
      <c r="A7" s="914" t="str">
        <f>'Bia1'!D43&amp;'Bia1'!E43</f>
        <v>HẠNG MỤC: ĐỔI BẢNG MÃ FONT RẤT ĐƠN GIẢN TRONG DỰ TOÁN GXD</v>
      </c>
      <c r="B7" s="901"/>
      <c r="C7" s="901"/>
      <c r="D7" s="901"/>
      <c r="E7" s="901"/>
      <c r="F7" s="903"/>
      <c r="G7" s="903"/>
    </row>
    <row r="8" spans="1:7">
      <c r="A8" s="903"/>
      <c r="B8" s="903"/>
      <c r="C8" s="903"/>
      <c r="D8" s="903"/>
      <c r="E8" s="903"/>
      <c r="F8" s="903"/>
      <c r="G8" s="903"/>
    </row>
    <row r="9" spans="1:7">
      <c r="A9" s="903"/>
      <c r="B9" s="903"/>
      <c r="C9" s="903"/>
      <c r="D9" s="903"/>
      <c r="E9" s="903"/>
      <c r="F9" s="903"/>
      <c r="G9" s="903"/>
    </row>
    <row r="10" spans="1:7" ht="24.95" customHeight="1">
      <c r="A10" s="1063" t="s">
        <v>9</v>
      </c>
      <c r="B10" s="1063" t="s">
        <v>965</v>
      </c>
      <c r="C10" s="1064" t="s">
        <v>962</v>
      </c>
      <c r="D10" s="1064" t="s">
        <v>963</v>
      </c>
      <c r="E10" s="1064" t="s">
        <v>964</v>
      </c>
      <c r="F10" s="903"/>
      <c r="G10" s="903"/>
    </row>
    <row r="11" spans="1:7" ht="24.95" customHeight="1">
      <c r="A11" s="871" t="s">
        <v>908</v>
      </c>
      <c r="B11" s="872" t="s">
        <v>911</v>
      </c>
      <c r="C11" s="872" t="s">
        <v>912</v>
      </c>
      <c r="D11" s="873" t="s">
        <v>913</v>
      </c>
      <c r="E11" s="874" t="s">
        <v>914</v>
      </c>
      <c r="F11" s="903"/>
    </row>
    <row r="12" spans="1:7" ht="24.95" customHeight="1">
      <c r="A12" s="908">
        <v>1</v>
      </c>
      <c r="B12" s="909" t="s">
        <v>588</v>
      </c>
      <c r="C12" s="912"/>
      <c r="D12" s="912">
        <f>'Tong hop kinh phi'!G7</f>
        <v>109606069.10259347</v>
      </c>
      <c r="E12" s="912">
        <f>D12-C12</f>
        <v>109606069.10259347</v>
      </c>
      <c r="F12" s="903"/>
      <c r="G12" s="903"/>
    </row>
    <row r="13" spans="1:7" ht="24.95" customHeight="1">
      <c r="A13" s="910">
        <v>2</v>
      </c>
      <c r="B13" s="911" t="s">
        <v>589</v>
      </c>
      <c r="C13" s="913"/>
      <c r="D13" s="913">
        <f>'Tong hop kinh phi'!G10</f>
        <v>0</v>
      </c>
      <c r="E13" s="913">
        <f t="shared" ref="E13:E18" si="0">D13-C13</f>
        <v>0</v>
      </c>
      <c r="F13" s="903"/>
      <c r="G13" s="903"/>
    </row>
    <row r="14" spans="1:7" ht="24.95" hidden="1" customHeight="1">
      <c r="A14" s="910"/>
      <c r="B14" s="115" t="s">
        <v>67</v>
      </c>
      <c r="C14" s="913"/>
      <c r="D14" s="913">
        <f>'Tong hop kinh phi'!G11</f>
        <v>0</v>
      </c>
      <c r="E14" s="913">
        <f t="shared" ref="E14" si="1">D14-C14</f>
        <v>0</v>
      </c>
      <c r="F14" s="903"/>
      <c r="G14" s="903"/>
    </row>
    <row r="15" spans="1:7" ht="24.95" customHeight="1">
      <c r="A15" s="910">
        <v>3</v>
      </c>
      <c r="B15" s="911" t="s">
        <v>590</v>
      </c>
      <c r="C15" s="913"/>
      <c r="D15" s="913">
        <f ca="1">'Tong hop kinh phi'!G12</f>
        <v>2514961.0764995078</v>
      </c>
      <c r="E15" s="913">
        <f t="shared" ca="1" si="0"/>
        <v>2514961.0764995078</v>
      </c>
      <c r="F15" s="903"/>
      <c r="G15" s="903"/>
    </row>
    <row r="16" spans="1:7" ht="24.95" customHeight="1">
      <c r="A16" s="910">
        <v>4</v>
      </c>
      <c r="B16" s="911" t="s">
        <v>591</v>
      </c>
      <c r="C16" s="913"/>
      <c r="D16" s="913">
        <f ca="1">'Tong hop kinh phi'!G13</f>
        <v>9294000</v>
      </c>
      <c r="E16" s="913">
        <f t="shared" ca="1" si="0"/>
        <v>9294000</v>
      </c>
      <c r="F16" s="903"/>
      <c r="G16" s="903"/>
    </row>
    <row r="17" spans="1:7" ht="24.95" customHeight="1">
      <c r="A17" s="910">
        <v>5</v>
      </c>
      <c r="B17" s="911" t="s">
        <v>592</v>
      </c>
      <c r="C17" s="913"/>
      <c r="D17" s="913">
        <f ca="1">'Tong hop kinh phi'!G14</f>
        <v>1000000</v>
      </c>
      <c r="E17" s="913">
        <f t="shared" ca="1" si="0"/>
        <v>1000000</v>
      </c>
      <c r="F17" s="903"/>
      <c r="G17" s="903"/>
    </row>
    <row r="18" spans="1:7" ht="24.95" customHeight="1">
      <c r="A18" s="910">
        <v>6</v>
      </c>
      <c r="B18" s="911" t="s">
        <v>593</v>
      </c>
      <c r="C18" s="913"/>
      <c r="D18" s="913">
        <f ca="1">'Tong hop kinh phi'!G15</f>
        <v>6120751.5089546489</v>
      </c>
      <c r="E18" s="913">
        <f t="shared" ca="1" si="0"/>
        <v>6120751.5089546489</v>
      </c>
      <c r="F18" s="903"/>
      <c r="G18" s="903"/>
    </row>
    <row r="19" spans="1:7" ht="24.95" customHeight="1">
      <c r="A19" s="1061"/>
      <c r="B19" s="1061" t="s">
        <v>753</v>
      </c>
      <c r="C19" s="1062">
        <f>SUM(C12:C18)</f>
        <v>0</v>
      </c>
      <c r="D19" s="1062">
        <f ca="1">SUM(D12:D18)</f>
        <v>128535781.68804762</v>
      </c>
      <c r="E19" s="1062">
        <f ca="1">SUM(E12:E18)</f>
        <v>128535781.68804762</v>
      </c>
      <c r="F19" s="903"/>
      <c r="G19" s="903"/>
    </row>
    <row r="20" spans="1:7">
      <c r="A20" s="903"/>
      <c r="B20" s="903"/>
      <c r="C20" s="903"/>
      <c r="D20" s="903"/>
      <c r="E20" s="903"/>
      <c r="F20" s="903"/>
      <c r="G20" s="903"/>
    </row>
    <row r="21" spans="1:7">
      <c r="A21" s="903"/>
      <c r="B21" s="903"/>
      <c r="C21" s="903"/>
      <c r="D21" s="903"/>
      <c r="E21" s="903"/>
      <c r="F21" s="903"/>
      <c r="G21" s="903"/>
    </row>
    <row r="22" spans="1:7">
      <c r="A22" s="903"/>
      <c r="B22" s="903"/>
      <c r="C22" s="903"/>
      <c r="D22" s="903"/>
      <c r="E22" s="903"/>
      <c r="F22" s="903"/>
      <c r="G22" s="903"/>
    </row>
    <row r="23" spans="1:7">
      <c r="A23" s="903"/>
      <c r="B23" s="903"/>
      <c r="C23" s="903"/>
      <c r="D23" s="903"/>
      <c r="E23" s="903"/>
      <c r="F23" s="903"/>
      <c r="G23" s="903"/>
    </row>
    <row r="24" spans="1:7">
      <c r="A24" s="903"/>
      <c r="B24" s="903"/>
      <c r="C24" s="903"/>
      <c r="D24" s="903"/>
      <c r="E24" s="903"/>
      <c r="F24" s="903"/>
      <c r="G24" s="903"/>
    </row>
    <row r="25" spans="1:7">
      <c r="A25" s="903"/>
      <c r="B25" s="903"/>
      <c r="C25" s="903"/>
      <c r="D25" s="903"/>
      <c r="E25" s="903"/>
      <c r="F25" s="903"/>
      <c r="G25" s="903"/>
    </row>
    <row r="26" spans="1:7">
      <c r="A26" s="903"/>
      <c r="B26" s="903"/>
      <c r="C26" s="903"/>
      <c r="D26" s="903"/>
      <c r="E26" s="903"/>
      <c r="F26" s="903"/>
      <c r="G26" s="903"/>
    </row>
    <row r="27" spans="1:7">
      <c r="A27" s="903"/>
      <c r="B27" s="903"/>
      <c r="C27" s="903"/>
      <c r="D27" s="903"/>
      <c r="E27" s="903"/>
      <c r="F27" s="903"/>
      <c r="G27" s="903"/>
    </row>
    <row r="28" spans="1:7">
      <c r="A28" s="903"/>
      <c r="B28" s="903"/>
      <c r="C28" s="903"/>
      <c r="D28" s="903"/>
      <c r="E28" s="903"/>
      <c r="F28" s="903"/>
      <c r="G28" s="903"/>
    </row>
    <row r="29" spans="1:7">
      <c r="A29" s="903"/>
      <c r="B29" s="903"/>
      <c r="C29" s="903"/>
      <c r="D29" s="903"/>
      <c r="E29" s="903"/>
      <c r="F29" s="903"/>
      <c r="G29" s="903"/>
    </row>
    <row r="30" spans="1:7">
      <c r="A30" s="903"/>
      <c r="B30" s="903"/>
      <c r="C30" s="903"/>
      <c r="D30" s="903"/>
      <c r="E30" s="903"/>
      <c r="F30" s="903"/>
      <c r="G30" s="903"/>
    </row>
    <row r="31" spans="1:7">
      <c r="A31" s="903"/>
      <c r="B31" s="903"/>
      <c r="C31" s="903"/>
      <c r="D31" s="903"/>
      <c r="E31" s="903"/>
      <c r="F31" s="903"/>
      <c r="G31" s="903"/>
    </row>
    <row r="32" spans="1:7">
      <c r="A32" s="903"/>
      <c r="B32" s="903"/>
      <c r="C32" s="903"/>
      <c r="D32" s="903"/>
      <c r="E32" s="903"/>
      <c r="F32" s="903"/>
      <c r="G32" s="903"/>
    </row>
    <row r="33" spans="1:7">
      <c r="A33" s="903"/>
      <c r="B33" s="903"/>
      <c r="C33" s="903"/>
      <c r="D33" s="903"/>
      <c r="E33" s="903"/>
      <c r="F33" s="903"/>
      <c r="G33" s="903"/>
    </row>
    <row r="34" spans="1:7">
      <c r="A34" s="903"/>
      <c r="B34" s="903"/>
      <c r="C34" s="903"/>
      <c r="D34" s="903"/>
      <c r="E34" s="903"/>
      <c r="F34" s="903"/>
      <c r="G34" s="903"/>
    </row>
    <row r="35" spans="1:7">
      <c r="A35" s="903"/>
      <c r="B35" s="903"/>
      <c r="C35" s="903"/>
      <c r="D35" s="903"/>
      <c r="E35" s="903"/>
      <c r="F35" s="903"/>
      <c r="G35" s="903"/>
    </row>
    <row r="36" spans="1:7">
      <c r="A36" s="903"/>
      <c r="B36" s="903"/>
      <c r="C36" s="903"/>
      <c r="D36" s="903"/>
      <c r="E36" s="903"/>
      <c r="F36" s="903"/>
      <c r="G36" s="903"/>
    </row>
    <row r="37" spans="1:7">
      <c r="A37" s="903"/>
      <c r="B37" s="903"/>
      <c r="C37" s="903"/>
      <c r="D37" s="903"/>
      <c r="E37" s="903"/>
      <c r="F37" s="903"/>
      <c r="G37" s="903"/>
    </row>
    <row r="38" spans="1:7">
      <c r="A38" s="903"/>
      <c r="B38" s="903"/>
      <c r="C38" s="903"/>
      <c r="D38" s="903"/>
      <c r="E38" s="903"/>
      <c r="F38" s="903"/>
      <c r="G38" s="903"/>
    </row>
    <row r="39" spans="1:7">
      <c r="A39" s="903"/>
      <c r="B39" s="903"/>
      <c r="C39" s="903"/>
      <c r="D39" s="903"/>
      <c r="E39" s="903"/>
      <c r="F39" s="903"/>
      <c r="G39" s="903"/>
    </row>
    <row r="40" spans="1:7">
      <c r="A40" s="903"/>
      <c r="B40" s="903"/>
      <c r="C40" s="903"/>
      <c r="D40" s="903"/>
      <c r="E40" s="903"/>
      <c r="F40" s="903"/>
      <c r="G40" s="903"/>
    </row>
    <row r="41" spans="1:7">
      <c r="A41" s="903"/>
      <c r="B41" s="903"/>
      <c r="C41" s="903"/>
      <c r="D41" s="903"/>
      <c r="E41" s="903"/>
      <c r="F41" s="903"/>
      <c r="G41" s="903"/>
    </row>
    <row r="42" spans="1:7">
      <c r="A42" s="903"/>
      <c r="B42" s="903"/>
      <c r="C42" s="903"/>
      <c r="D42" s="903"/>
      <c r="E42" s="903"/>
      <c r="F42" s="903"/>
      <c r="G42" s="903"/>
    </row>
    <row r="43" spans="1:7">
      <c r="A43" s="903"/>
      <c r="B43" s="903"/>
      <c r="C43" s="903"/>
      <c r="D43" s="903"/>
      <c r="E43" s="903"/>
      <c r="F43" s="903"/>
      <c r="G43" s="903"/>
    </row>
    <row r="44" spans="1:7">
      <c r="A44" s="903"/>
      <c r="B44" s="903"/>
      <c r="C44" s="903"/>
      <c r="D44" s="903"/>
      <c r="E44" s="903"/>
      <c r="F44" s="903"/>
      <c r="G44" s="903"/>
    </row>
    <row r="45" spans="1:7">
      <c r="A45" s="903"/>
      <c r="B45" s="903"/>
      <c r="C45" s="903"/>
      <c r="D45" s="903"/>
      <c r="E45" s="903"/>
      <c r="F45" s="903"/>
      <c r="G45" s="903"/>
    </row>
    <row r="46" spans="1:7">
      <c r="A46" s="903"/>
      <c r="B46" s="903"/>
      <c r="C46" s="903"/>
      <c r="D46" s="903"/>
      <c r="E46" s="903"/>
      <c r="F46" s="903"/>
      <c r="G46" s="903"/>
    </row>
    <row r="47" spans="1:7">
      <c r="A47" s="903"/>
      <c r="B47" s="903"/>
      <c r="C47" s="903"/>
      <c r="D47" s="903"/>
      <c r="E47" s="903"/>
      <c r="F47" s="903"/>
      <c r="G47" s="903"/>
    </row>
    <row r="48" spans="1:7">
      <c r="A48" s="903"/>
      <c r="B48" s="903"/>
      <c r="C48" s="903"/>
      <c r="D48" s="903"/>
      <c r="E48" s="903"/>
      <c r="F48" s="903"/>
      <c r="G48" s="903"/>
    </row>
    <row r="49" spans="1:7">
      <c r="A49" s="903"/>
      <c r="B49" s="903"/>
      <c r="C49" s="903"/>
      <c r="D49" s="903"/>
      <c r="E49" s="903"/>
      <c r="F49" s="903"/>
      <c r="G49" s="903"/>
    </row>
    <row r="50" spans="1:7">
      <c r="A50" s="903"/>
      <c r="B50" s="903"/>
      <c r="C50" s="903"/>
      <c r="D50" s="903"/>
      <c r="E50" s="903"/>
      <c r="F50" s="903"/>
      <c r="G50" s="903"/>
    </row>
    <row r="51" spans="1:7">
      <c r="A51" s="903"/>
      <c r="B51" s="903"/>
      <c r="C51" s="903"/>
      <c r="D51" s="903"/>
      <c r="E51" s="903"/>
      <c r="F51" s="903"/>
      <c r="G51" s="903"/>
    </row>
    <row r="52" spans="1:7">
      <c r="A52" s="903"/>
      <c r="B52" s="903"/>
      <c r="C52" s="903"/>
      <c r="D52" s="903"/>
      <c r="E52" s="903"/>
      <c r="F52" s="903"/>
      <c r="G52" s="903"/>
    </row>
    <row r="53" spans="1:7">
      <c r="A53" s="903"/>
      <c r="B53" s="903"/>
      <c r="C53" s="903"/>
      <c r="D53" s="903"/>
      <c r="E53" s="903"/>
      <c r="F53" s="903"/>
      <c r="G53" s="903"/>
    </row>
    <row r="54" spans="1:7">
      <c r="A54" s="903"/>
      <c r="B54" s="903"/>
      <c r="C54" s="903"/>
      <c r="D54" s="903"/>
      <c r="E54" s="903"/>
      <c r="F54" s="903"/>
      <c r="G54" s="903"/>
    </row>
    <row r="55" spans="1:7">
      <c r="A55" s="903"/>
      <c r="B55" s="903"/>
      <c r="C55" s="903"/>
      <c r="D55" s="903"/>
      <c r="E55" s="903"/>
      <c r="F55" s="903"/>
      <c r="G55" s="903"/>
    </row>
    <row r="56" spans="1:7">
      <c r="A56" s="903"/>
      <c r="B56" s="903"/>
      <c r="C56" s="903"/>
      <c r="D56" s="903"/>
      <c r="E56" s="903"/>
      <c r="F56" s="903"/>
      <c r="G56" s="903"/>
    </row>
    <row r="57" spans="1:7">
      <c r="A57" s="903"/>
      <c r="B57" s="903"/>
      <c r="C57" s="903"/>
      <c r="D57" s="903"/>
      <c r="E57" s="903"/>
      <c r="F57" s="903"/>
      <c r="G57" s="903"/>
    </row>
    <row r="58" spans="1:7">
      <c r="A58" s="903"/>
      <c r="B58" s="903"/>
      <c r="C58" s="903"/>
      <c r="D58" s="903"/>
      <c r="E58" s="903"/>
      <c r="F58" s="903"/>
      <c r="G58" s="903"/>
    </row>
    <row r="59" spans="1:7">
      <c r="A59" s="903"/>
      <c r="B59" s="903"/>
      <c r="C59" s="903"/>
      <c r="D59" s="903"/>
      <c r="E59" s="903"/>
      <c r="F59" s="903"/>
      <c r="G59" s="903"/>
    </row>
    <row r="60" spans="1:7">
      <c r="A60" s="903"/>
      <c r="B60" s="903"/>
      <c r="C60" s="903"/>
      <c r="D60" s="903"/>
      <c r="E60" s="903"/>
      <c r="F60" s="903"/>
      <c r="G60" s="903"/>
    </row>
    <row r="61" spans="1:7">
      <c r="A61" s="903"/>
      <c r="B61" s="903"/>
      <c r="C61" s="903"/>
      <c r="D61" s="903"/>
      <c r="E61" s="903"/>
      <c r="F61" s="903"/>
      <c r="G61" s="903"/>
    </row>
    <row r="62" spans="1:7">
      <c r="A62" s="903"/>
      <c r="B62" s="903"/>
      <c r="C62" s="903"/>
      <c r="D62" s="903"/>
      <c r="E62" s="903"/>
      <c r="F62" s="903"/>
      <c r="G62" s="903"/>
    </row>
    <row r="63" spans="1:7">
      <c r="A63" s="903"/>
      <c r="B63" s="903"/>
      <c r="C63" s="903"/>
      <c r="D63" s="903"/>
      <c r="E63" s="903"/>
      <c r="F63" s="903"/>
      <c r="G63" s="903"/>
    </row>
    <row r="64" spans="1:7">
      <c r="A64" s="903"/>
      <c r="B64" s="903"/>
      <c r="C64" s="903"/>
      <c r="D64" s="903"/>
      <c r="E64" s="903"/>
      <c r="F64" s="903"/>
      <c r="G64" s="903"/>
    </row>
    <row r="65" spans="1:7">
      <c r="A65" s="903"/>
      <c r="B65" s="903"/>
      <c r="C65" s="903"/>
      <c r="D65" s="903"/>
      <c r="E65" s="903"/>
      <c r="F65" s="903"/>
      <c r="G65" s="903"/>
    </row>
    <row r="66" spans="1:7">
      <c r="A66" s="903"/>
      <c r="B66" s="903"/>
      <c r="C66" s="903"/>
      <c r="D66" s="903"/>
      <c r="E66" s="903"/>
      <c r="F66" s="903"/>
      <c r="G66" s="903"/>
    </row>
    <row r="67" spans="1:7">
      <c r="A67" s="903"/>
      <c r="B67" s="903"/>
      <c r="C67" s="903"/>
      <c r="D67" s="903"/>
      <c r="E67" s="903"/>
      <c r="F67" s="903"/>
      <c r="G67" s="903"/>
    </row>
    <row r="68" spans="1:7">
      <c r="A68" s="903"/>
      <c r="B68" s="903"/>
      <c r="C68" s="903"/>
      <c r="D68" s="903"/>
      <c r="E68" s="903"/>
      <c r="F68" s="903"/>
      <c r="G68" s="903"/>
    </row>
    <row r="69" spans="1:7">
      <c r="A69" s="903"/>
      <c r="B69" s="903"/>
      <c r="C69" s="903"/>
      <c r="D69" s="903"/>
      <c r="E69" s="903"/>
      <c r="F69" s="903"/>
      <c r="G69" s="903"/>
    </row>
    <row r="70" spans="1:7">
      <c r="A70" s="903"/>
      <c r="B70" s="903"/>
      <c r="C70" s="903"/>
      <c r="D70" s="903"/>
      <c r="E70" s="903"/>
      <c r="F70" s="903"/>
      <c r="G70" s="903"/>
    </row>
    <row r="71" spans="1:7">
      <c r="A71" s="903"/>
      <c r="B71" s="903"/>
      <c r="C71" s="903"/>
      <c r="D71" s="903"/>
      <c r="E71" s="903"/>
      <c r="F71" s="903"/>
      <c r="G71" s="903"/>
    </row>
    <row r="72" spans="1:7">
      <c r="A72" s="903"/>
      <c r="B72" s="903"/>
      <c r="C72" s="903"/>
      <c r="D72" s="903"/>
      <c r="E72" s="903"/>
      <c r="F72" s="903"/>
      <c r="G72" s="903"/>
    </row>
    <row r="73" spans="1:7">
      <c r="A73" s="903"/>
      <c r="B73" s="903"/>
      <c r="C73" s="903"/>
      <c r="D73" s="903"/>
      <c r="E73" s="903"/>
      <c r="F73" s="903"/>
      <c r="G73" s="903"/>
    </row>
    <row r="74" spans="1:7">
      <c r="A74" s="903"/>
      <c r="B74" s="903"/>
      <c r="C74" s="903"/>
      <c r="D74" s="903"/>
      <c r="E74" s="903"/>
      <c r="F74" s="903"/>
      <c r="G74" s="903"/>
    </row>
    <row r="75" spans="1:7">
      <c r="A75" s="903"/>
      <c r="B75" s="903"/>
      <c r="C75" s="903"/>
      <c r="D75" s="903"/>
      <c r="E75" s="903"/>
      <c r="F75" s="903"/>
      <c r="G75" s="903"/>
    </row>
    <row r="76" spans="1:7">
      <c r="A76" s="903"/>
      <c r="B76" s="903"/>
      <c r="C76" s="903"/>
      <c r="D76" s="903"/>
      <c r="E76" s="903"/>
      <c r="F76" s="903"/>
      <c r="G76" s="903"/>
    </row>
    <row r="77" spans="1:7">
      <c r="A77" s="903"/>
      <c r="B77" s="903"/>
      <c r="C77" s="903"/>
      <c r="D77" s="903"/>
      <c r="E77" s="903"/>
      <c r="F77" s="903"/>
      <c r="G77" s="903"/>
    </row>
    <row r="78" spans="1:7">
      <c r="A78" s="903"/>
      <c r="B78" s="903"/>
      <c r="C78" s="903"/>
      <c r="D78" s="903"/>
      <c r="E78" s="903"/>
      <c r="F78" s="903"/>
      <c r="G78" s="903"/>
    </row>
    <row r="79" spans="1:7">
      <c r="A79" s="903"/>
      <c r="B79" s="903"/>
      <c r="C79" s="903"/>
      <c r="D79" s="903"/>
      <c r="E79" s="903"/>
      <c r="F79" s="903"/>
      <c r="G79" s="903"/>
    </row>
    <row r="80" spans="1:7">
      <c r="A80" s="903"/>
      <c r="B80" s="903"/>
      <c r="C80" s="903"/>
      <c r="D80" s="903"/>
      <c r="E80" s="903"/>
      <c r="F80" s="903"/>
      <c r="G80" s="903"/>
    </row>
    <row r="81" spans="1:7">
      <c r="A81" s="903"/>
      <c r="B81" s="903"/>
      <c r="C81" s="903"/>
      <c r="D81" s="903"/>
      <c r="E81" s="903"/>
      <c r="F81" s="903"/>
      <c r="G81" s="903"/>
    </row>
    <row r="82" spans="1:7">
      <c r="A82" s="903"/>
      <c r="B82" s="903"/>
      <c r="C82" s="903"/>
      <c r="D82" s="903"/>
      <c r="E82" s="903"/>
      <c r="F82" s="903"/>
      <c r="G82" s="903"/>
    </row>
    <row r="83" spans="1:7">
      <c r="A83" s="903"/>
      <c r="B83" s="903"/>
      <c r="C83" s="903"/>
      <c r="D83" s="903"/>
      <c r="E83" s="903"/>
      <c r="F83" s="903"/>
      <c r="G83" s="903"/>
    </row>
    <row r="84" spans="1:7">
      <c r="A84" s="903"/>
      <c r="B84" s="903"/>
      <c r="C84" s="903"/>
      <c r="D84" s="903"/>
      <c r="E84" s="903"/>
      <c r="F84" s="903"/>
      <c r="G84" s="903"/>
    </row>
    <row r="85" spans="1:7">
      <c r="A85" s="903"/>
      <c r="B85" s="903"/>
      <c r="C85" s="903"/>
      <c r="D85" s="903"/>
      <c r="E85" s="903"/>
      <c r="F85" s="903"/>
      <c r="G85" s="903"/>
    </row>
    <row r="86" spans="1:7">
      <c r="A86" s="903"/>
      <c r="B86" s="903"/>
      <c r="C86" s="903"/>
      <c r="D86" s="903"/>
      <c r="E86" s="903"/>
      <c r="F86" s="903"/>
      <c r="G86" s="903"/>
    </row>
    <row r="87" spans="1:7">
      <c r="A87" s="903"/>
      <c r="B87" s="903"/>
      <c r="C87" s="903"/>
      <c r="D87" s="903"/>
      <c r="E87" s="903"/>
      <c r="F87" s="903"/>
      <c r="G87" s="903"/>
    </row>
    <row r="88" spans="1:7">
      <c r="A88" s="903"/>
      <c r="B88" s="903"/>
      <c r="C88" s="903"/>
      <c r="D88" s="903"/>
      <c r="E88" s="903"/>
      <c r="F88" s="903"/>
      <c r="G88" s="903"/>
    </row>
    <row r="89" spans="1:7">
      <c r="A89" s="903"/>
      <c r="B89" s="903"/>
      <c r="C89" s="903"/>
      <c r="D89" s="903"/>
      <c r="E89" s="903"/>
      <c r="F89" s="903"/>
      <c r="G89" s="903"/>
    </row>
    <row r="90" spans="1:7">
      <c r="A90" s="903"/>
      <c r="B90" s="903"/>
      <c r="C90" s="903"/>
      <c r="D90" s="903"/>
      <c r="E90" s="903"/>
      <c r="F90" s="903"/>
      <c r="G90" s="903"/>
    </row>
    <row r="91" spans="1:7">
      <c r="A91" s="903"/>
      <c r="B91" s="903"/>
      <c r="C91" s="903"/>
      <c r="D91" s="903"/>
      <c r="E91" s="903"/>
      <c r="F91" s="903"/>
      <c r="G91" s="903"/>
    </row>
    <row r="92" spans="1:7">
      <c r="A92" s="903"/>
      <c r="B92" s="903"/>
      <c r="C92" s="903"/>
      <c r="D92" s="903"/>
      <c r="E92" s="903"/>
      <c r="F92" s="903"/>
      <c r="G92" s="903"/>
    </row>
    <row r="93" spans="1:7">
      <c r="A93" s="903"/>
      <c r="B93" s="903"/>
      <c r="C93" s="903"/>
      <c r="D93" s="903"/>
      <c r="E93" s="903"/>
      <c r="F93" s="903"/>
      <c r="G93" s="903"/>
    </row>
    <row r="94" spans="1:7">
      <c r="A94" s="903"/>
      <c r="B94" s="903"/>
      <c r="C94" s="903"/>
      <c r="D94" s="903"/>
      <c r="E94" s="903"/>
      <c r="F94" s="903"/>
      <c r="G94" s="903"/>
    </row>
    <row r="95" spans="1:7">
      <c r="A95" s="903"/>
      <c r="B95" s="903"/>
      <c r="C95" s="903"/>
      <c r="D95" s="903"/>
      <c r="E95" s="903"/>
      <c r="F95" s="903"/>
      <c r="G95" s="903"/>
    </row>
    <row r="96" spans="1:7">
      <c r="A96" s="903"/>
      <c r="B96" s="903"/>
      <c r="C96" s="903"/>
      <c r="D96" s="903"/>
      <c r="E96" s="903"/>
      <c r="F96" s="903"/>
      <c r="G96" s="903"/>
    </row>
    <row r="97" spans="1:7">
      <c r="A97" s="903"/>
      <c r="B97" s="903"/>
      <c r="C97" s="903"/>
      <c r="D97" s="903"/>
      <c r="E97" s="903"/>
      <c r="F97" s="903"/>
      <c r="G97" s="903"/>
    </row>
    <row r="98" spans="1:7">
      <c r="A98" s="903"/>
      <c r="B98" s="903"/>
      <c r="C98" s="903"/>
      <c r="D98" s="903"/>
      <c r="E98" s="903"/>
      <c r="F98" s="903"/>
      <c r="G98" s="903"/>
    </row>
    <row r="99" spans="1:7">
      <c r="A99" s="903"/>
      <c r="B99" s="903"/>
      <c r="C99" s="903"/>
      <c r="D99" s="903"/>
      <c r="E99" s="903"/>
      <c r="F99" s="903"/>
      <c r="G99" s="903"/>
    </row>
    <row r="100" spans="1:7">
      <c r="A100" s="903"/>
      <c r="B100" s="903"/>
      <c r="C100" s="903"/>
      <c r="D100" s="903"/>
      <c r="E100" s="903"/>
      <c r="F100" s="903"/>
      <c r="G100" s="903"/>
    </row>
    <row r="101" spans="1:7">
      <c r="A101" s="903"/>
      <c r="B101" s="903"/>
      <c r="C101" s="903"/>
      <c r="D101" s="903"/>
      <c r="E101" s="903"/>
      <c r="F101" s="903"/>
      <c r="G101" s="903"/>
    </row>
    <row r="102" spans="1:7">
      <c r="A102" s="903"/>
      <c r="B102" s="903"/>
      <c r="C102" s="903"/>
      <c r="D102" s="903"/>
      <c r="E102" s="903"/>
      <c r="F102" s="903"/>
      <c r="G102" s="903"/>
    </row>
    <row r="103" spans="1:7">
      <c r="A103" s="903"/>
      <c r="B103" s="903"/>
      <c r="C103" s="903"/>
      <c r="D103" s="903"/>
      <c r="E103" s="903"/>
      <c r="F103" s="903"/>
      <c r="G103" s="903"/>
    </row>
    <row r="104" spans="1:7">
      <c r="A104" s="903"/>
      <c r="B104" s="903"/>
      <c r="C104" s="903"/>
      <c r="D104" s="903"/>
      <c r="E104" s="903"/>
      <c r="F104" s="903"/>
      <c r="G104" s="903"/>
    </row>
    <row r="105" spans="1:7">
      <c r="A105" s="903"/>
      <c r="B105" s="903"/>
      <c r="C105" s="903"/>
      <c r="D105" s="903"/>
      <c r="E105" s="903"/>
      <c r="F105" s="903"/>
      <c r="G105" s="903"/>
    </row>
    <row r="106" spans="1:7">
      <c r="A106" s="903"/>
      <c r="B106" s="903"/>
      <c r="C106" s="903"/>
      <c r="D106" s="903"/>
      <c r="E106" s="903"/>
      <c r="F106" s="903"/>
      <c r="G106" s="903"/>
    </row>
    <row r="107" spans="1:7">
      <c r="A107" s="903"/>
      <c r="B107" s="903"/>
      <c r="C107" s="903"/>
      <c r="D107" s="903"/>
      <c r="E107" s="903"/>
      <c r="F107" s="903"/>
      <c r="G107" s="903"/>
    </row>
    <row r="108" spans="1:7">
      <c r="A108" s="903"/>
      <c r="B108" s="903"/>
      <c r="C108" s="903"/>
      <c r="D108" s="903"/>
      <c r="E108" s="903"/>
      <c r="F108" s="903"/>
      <c r="G108" s="903"/>
    </row>
    <row r="109" spans="1:7">
      <c r="A109" s="903"/>
      <c r="B109" s="903"/>
      <c r="C109" s="903"/>
      <c r="D109" s="903"/>
      <c r="E109" s="903"/>
      <c r="F109" s="903"/>
      <c r="G109" s="903"/>
    </row>
    <row r="110" spans="1:7">
      <c r="A110" s="903"/>
      <c r="B110" s="903"/>
      <c r="C110" s="903"/>
      <c r="D110" s="903"/>
      <c r="E110" s="903"/>
      <c r="F110" s="903"/>
      <c r="G110" s="903"/>
    </row>
    <row r="111" spans="1:7">
      <c r="A111" s="903"/>
      <c r="B111" s="903"/>
      <c r="C111" s="903"/>
      <c r="D111" s="903"/>
      <c r="E111" s="903"/>
      <c r="F111" s="903"/>
      <c r="G111" s="903"/>
    </row>
    <row r="112" spans="1:7">
      <c r="A112" s="903"/>
      <c r="B112" s="903"/>
      <c r="C112" s="903"/>
      <c r="D112" s="903"/>
      <c r="E112" s="903"/>
      <c r="F112" s="903"/>
      <c r="G112" s="903"/>
    </row>
    <row r="113" spans="1:7">
      <c r="A113" s="903"/>
      <c r="B113" s="903"/>
      <c r="C113" s="903"/>
      <c r="D113" s="903"/>
      <c r="E113" s="903"/>
      <c r="F113" s="903"/>
      <c r="G113" s="903"/>
    </row>
    <row r="114" spans="1:7">
      <c r="A114" s="903"/>
      <c r="B114" s="903"/>
      <c r="C114" s="903"/>
      <c r="D114" s="903"/>
      <c r="E114" s="903"/>
      <c r="F114" s="903"/>
      <c r="G114" s="903"/>
    </row>
    <row r="115" spans="1:7">
      <c r="A115" s="903"/>
      <c r="B115" s="903"/>
      <c r="C115" s="903"/>
      <c r="D115" s="903"/>
      <c r="E115" s="903"/>
      <c r="F115" s="903"/>
      <c r="G115" s="903"/>
    </row>
    <row r="116" spans="1:7">
      <c r="A116" s="903"/>
      <c r="B116" s="903"/>
      <c r="C116" s="903"/>
      <c r="D116" s="903"/>
      <c r="E116" s="903"/>
      <c r="F116" s="903"/>
      <c r="G116" s="903"/>
    </row>
    <row r="117" spans="1:7">
      <c r="A117" s="903"/>
      <c r="B117" s="903"/>
      <c r="C117" s="903"/>
      <c r="D117" s="903"/>
      <c r="E117" s="903"/>
      <c r="F117" s="903"/>
      <c r="G117" s="903"/>
    </row>
    <row r="118" spans="1:7">
      <c r="A118" s="903"/>
      <c r="B118" s="903"/>
      <c r="C118" s="903"/>
      <c r="D118" s="903"/>
      <c r="E118" s="903"/>
      <c r="F118" s="903"/>
      <c r="G118" s="903"/>
    </row>
    <row r="119" spans="1:7">
      <c r="A119" s="903"/>
      <c r="B119" s="903"/>
      <c r="C119" s="903"/>
      <c r="D119" s="903"/>
      <c r="E119" s="903"/>
      <c r="F119" s="903"/>
      <c r="G119" s="903"/>
    </row>
    <row r="120" spans="1:7">
      <c r="A120" s="903"/>
      <c r="B120" s="903"/>
      <c r="C120" s="903"/>
      <c r="D120" s="903"/>
      <c r="E120" s="903"/>
      <c r="F120" s="903"/>
      <c r="G120" s="903"/>
    </row>
    <row r="121" spans="1:7">
      <c r="A121" s="903"/>
      <c r="B121" s="903"/>
      <c r="C121" s="903"/>
      <c r="D121" s="903"/>
      <c r="E121" s="903"/>
      <c r="F121" s="903"/>
      <c r="G121" s="903"/>
    </row>
    <row r="122" spans="1:7">
      <c r="A122" s="903"/>
      <c r="B122" s="903"/>
      <c r="C122" s="903"/>
      <c r="D122" s="903"/>
      <c r="E122" s="903"/>
      <c r="F122" s="903"/>
      <c r="G122" s="903"/>
    </row>
    <row r="123" spans="1:7">
      <c r="A123" s="903"/>
      <c r="B123" s="903"/>
      <c r="C123" s="903"/>
      <c r="D123" s="903"/>
      <c r="E123" s="903"/>
      <c r="F123" s="903"/>
      <c r="G123" s="903"/>
    </row>
    <row r="124" spans="1:7">
      <c r="A124" s="903"/>
      <c r="B124" s="903"/>
      <c r="C124" s="903"/>
      <c r="D124" s="903"/>
      <c r="E124" s="903"/>
      <c r="F124" s="903"/>
      <c r="G124" s="903"/>
    </row>
    <row r="125" spans="1:7">
      <c r="A125" s="903"/>
      <c r="B125" s="903"/>
      <c r="C125" s="903"/>
      <c r="D125" s="903"/>
      <c r="E125" s="903"/>
      <c r="F125" s="903"/>
      <c r="G125" s="903"/>
    </row>
    <row r="126" spans="1:7">
      <c r="A126" s="903"/>
      <c r="B126" s="903"/>
      <c r="C126" s="903"/>
      <c r="D126" s="903"/>
      <c r="E126" s="903"/>
      <c r="F126" s="903"/>
      <c r="G126" s="903"/>
    </row>
  </sheetData>
  <printOptions horizontalCentered="1"/>
  <pageMargins left="0.74803149606299202" right="0.23622047244094499" top="0.74803149606299202" bottom="0.511811023622047" header="0.23622047244094499" footer="0.23622047244094499"/>
  <pageSetup paperSize="9" orientation="landscape" blackAndWhite="1" verticalDpi="0" r:id="rId1"/>
  <headerFooter>
    <oddHeader>&amp;L&amp;"+,nghiêng"&amp;10Dự toán GXD - www.giaxaydung.vn</oddHeader>
    <oddFooter>&amp;C&amp;P</oddFooter>
  </headerFooter>
</worksheet>
</file>

<file path=xl/worksheets/sheet50.xml><?xml version="1.0" encoding="utf-8"?>
<worksheet xmlns="http://schemas.openxmlformats.org/spreadsheetml/2006/main" xmlns:r="http://schemas.openxmlformats.org/officeDocument/2006/relationships">
  <sheetPr codeName="shNhancong">
    <tabColor rgb="FFFFFF00"/>
  </sheetPr>
  <dimension ref="A1:P389"/>
  <sheetViews>
    <sheetView showZeros="0" zoomScale="85" zoomScaleNormal="85" workbookViewId="0"/>
  </sheetViews>
  <sheetFormatPr defaultColWidth="9" defaultRowHeight="15.75"/>
  <cols>
    <col min="1" max="2" width="8.42578125" style="746" customWidth="1"/>
    <col min="3" max="3" width="9.85546875" style="747" customWidth="1"/>
    <col min="4" max="4" width="9.7109375" style="748" customWidth="1"/>
    <col min="5" max="5" width="11.42578125" style="610" customWidth="1"/>
    <col min="6" max="6" width="11.28515625" style="610" customWidth="1"/>
    <col min="7" max="8" width="11.5703125" style="610" customWidth="1"/>
    <col min="9" max="9" width="11.85546875" style="610" customWidth="1"/>
    <col min="10" max="10" width="11.5703125" style="610" customWidth="1"/>
    <col min="11" max="12" width="11.5703125" style="610" hidden="1" customWidth="1"/>
    <col min="13" max="13" width="12.5703125" style="610" customWidth="1"/>
    <col min="14" max="14" width="11.28515625" style="739" bestFit="1" customWidth="1"/>
    <col min="15" max="16384" width="9" style="739"/>
  </cols>
  <sheetData>
    <row r="1" spans="1:13" s="642" customFormat="1" ht="22.5">
      <c r="A1" s="2" t="s">
        <v>625</v>
      </c>
      <c r="B1" s="734"/>
      <c r="C1" s="734"/>
      <c r="D1" s="734"/>
      <c r="E1" s="734"/>
      <c r="F1" s="734"/>
      <c r="G1" s="734"/>
      <c r="H1" s="734"/>
      <c r="I1" s="734"/>
      <c r="J1" s="734"/>
      <c r="K1" s="734"/>
      <c r="L1" s="734"/>
      <c r="M1" s="734"/>
    </row>
    <row r="2" spans="1:13" s="642" customFormat="1">
      <c r="A2" s="735" t="str">
        <f>'Bia1'!D42&amp;'Bia1'!E42</f>
        <v>CÔNG TRÌNH: NHÀ BIỆT THỰ GXD</v>
      </c>
      <c r="B2" s="618"/>
      <c r="C2" s="619"/>
      <c r="D2" s="618"/>
      <c r="E2" s="736"/>
      <c r="F2" s="736"/>
      <c r="G2" s="736"/>
      <c r="H2" s="736"/>
      <c r="I2" s="736"/>
      <c r="J2" s="736"/>
      <c r="K2" s="736"/>
      <c r="L2" s="736"/>
      <c r="M2" s="736"/>
    </row>
    <row r="3" spans="1:13" s="642" customFormat="1">
      <c r="A3" s="735" t="str">
        <f>'Bia1'!D43&amp;'Bia1'!E43</f>
        <v>HẠNG MỤC: ĐỔI BẢNG MÃ FONT RẤT ĐƠN GIẢN TRONG DỰ TOÁN GXD</v>
      </c>
      <c r="B3" s="618"/>
      <c r="C3" s="619"/>
      <c r="D3" s="618"/>
      <c r="E3" s="737"/>
      <c r="F3" s="737"/>
      <c r="G3" s="737"/>
      <c r="H3" s="736"/>
      <c r="I3" s="736"/>
      <c r="J3" s="736"/>
      <c r="K3" s="736"/>
      <c r="L3" s="736"/>
      <c r="M3" s="736"/>
    </row>
    <row r="4" spans="1:13" s="642" customFormat="1" ht="20.100000000000001" customHeight="1">
      <c r="A4" s="383" t="s">
        <v>354</v>
      </c>
      <c r="B4" s="618"/>
      <c r="C4" s="619"/>
      <c r="D4" s="618"/>
      <c r="E4" s="620">
        <f>LTTC</f>
        <v>1050000</v>
      </c>
      <c r="F4" s="621" t="s">
        <v>355</v>
      </c>
      <c r="G4" s="655"/>
      <c r="H4" s="736"/>
      <c r="I4" s="736"/>
      <c r="J4" s="736"/>
      <c r="K4" s="736"/>
      <c r="L4" s="736"/>
      <c r="M4" s="736"/>
    </row>
    <row r="5" spans="1:13" s="642" customFormat="1" ht="20.100000000000001" customHeight="1">
      <c r="A5" s="383" t="s">
        <v>356</v>
      </c>
      <c r="B5" s="618"/>
      <c r="C5" s="619"/>
      <c r="D5" s="618"/>
      <c r="E5" s="620">
        <f>LTTV</f>
        <v>2000000</v>
      </c>
      <c r="F5" s="621" t="s">
        <v>355</v>
      </c>
      <c r="G5" s="655"/>
      <c r="H5" s="736"/>
      <c r="I5" s="736"/>
      <c r="J5" s="736"/>
      <c r="K5" s="736"/>
      <c r="L5" s="736"/>
      <c r="M5" s="736"/>
    </row>
    <row r="6" spans="1:13" s="642" customFormat="1" ht="20.100000000000001" customHeight="1">
      <c r="A6" s="383" t="s">
        <v>357</v>
      </c>
      <c r="B6" s="618"/>
      <c r="C6" s="619"/>
      <c r="D6" s="618"/>
      <c r="E6" s="622"/>
      <c r="F6" s="623"/>
      <c r="G6" s="656"/>
      <c r="H6" s="736"/>
      <c r="I6" s="736"/>
      <c r="J6" s="736"/>
      <c r="K6" s="736"/>
      <c r="L6" s="736"/>
      <c r="M6" s="736"/>
    </row>
    <row r="7" spans="1:13" ht="20.100000000000001" customHeight="1">
      <c r="A7" s="609"/>
      <c r="B7" s="609"/>
      <c r="C7" s="624" t="s">
        <v>36</v>
      </c>
      <c r="D7" s="625"/>
      <c r="E7" s="738"/>
      <c r="F7" s="626">
        <f>$E$4*luudong</f>
        <v>210000</v>
      </c>
      <c r="G7" s="627" t="s">
        <v>355</v>
      </c>
      <c r="H7" s="739"/>
      <c r="I7" s="740"/>
      <c r="J7" s="740"/>
      <c r="K7" s="740"/>
      <c r="L7" s="740"/>
      <c r="M7" s="740"/>
    </row>
    <row r="8" spans="1:13" ht="20.100000000000001" customHeight="1">
      <c r="A8" s="609"/>
      <c r="B8" s="609"/>
      <c r="C8" s="624" t="s">
        <v>40</v>
      </c>
      <c r="D8" s="625"/>
      <c r="E8" s="738"/>
      <c r="F8" s="626">
        <f>$E$4*khuvuc</f>
        <v>0</v>
      </c>
      <c r="G8" s="627" t="s">
        <v>355</v>
      </c>
      <c r="H8" s="739"/>
      <c r="I8" s="740"/>
      <c r="J8" s="740"/>
      <c r="K8" s="740"/>
      <c r="L8" s="740"/>
      <c r="M8" s="740"/>
    </row>
    <row r="9" spans="1:13" ht="20.100000000000001" customHeight="1">
      <c r="A9" s="609"/>
      <c r="B9" s="609"/>
      <c r="C9" s="624" t="s">
        <v>43</v>
      </c>
      <c r="D9" s="625"/>
      <c r="E9" s="738"/>
      <c r="F9" s="626">
        <f>$E$4*dochai</f>
        <v>0</v>
      </c>
      <c r="G9" s="627" t="s">
        <v>355</v>
      </c>
      <c r="H9" s="739"/>
      <c r="I9" s="740"/>
      <c r="J9" s="740"/>
      <c r="K9" s="740"/>
      <c r="L9" s="740"/>
      <c r="M9" s="739"/>
    </row>
    <row r="10" spans="1:13" ht="20.100000000000001" customHeight="1">
      <c r="A10" s="609"/>
      <c r="B10" s="609"/>
      <c r="C10" s="624" t="s">
        <v>358</v>
      </c>
      <c r="D10" s="625"/>
      <c r="E10" s="738"/>
      <c r="F10" s="626">
        <f>SUM(F7:F9)</f>
        <v>210000</v>
      </c>
      <c r="G10" s="627" t="s">
        <v>355</v>
      </c>
      <c r="H10" s="739"/>
      <c r="I10" s="740"/>
      <c r="J10" s="740"/>
      <c r="K10" s="740"/>
      <c r="L10" s="740"/>
      <c r="M10" s="739"/>
    </row>
    <row r="11" spans="1:13" s="642" customFormat="1">
      <c r="A11" s="657"/>
      <c r="B11" s="658"/>
      <c r="C11" s="659"/>
      <c r="D11" s="657"/>
      <c r="E11" s="660"/>
      <c r="F11" s="660"/>
      <c r="G11" s="660"/>
      <c r="H11" s="660"/>
      <c r="I11" s="741"/>
      <c r="J11" s="741"/>
      <c r="K11" s="741"/>
      <c r="L11" s="741"/>
      <c r="M11" s="741"/>
    </row>
    <row r="12" spans="1:13" s="642" customFormat="1" ht="15" customHeight="1">
      <c r="A12" s="1446" t="s">
        <v>660</v>
      </c>
      <c r="B12" s="1443" t="s">
        <v>302</v>
      </c>
      <c r="C12" s="1446" t="s">
        <v>359</v>
      </c>
      <c r="D12" s="1443" t="s">
        <v>360</v>
      </c>
      <c r="E12" s="1443" t="s">
        <v>361</v>
      </c>
      <c r="F12" s="1443" t="s">
        <v>362</v>
      </c>
      <c r="G12" s="742" t="s">
        <v>363</v>
      </c>
      <c r="H12" s="661"/>
      <c r="I12" s="662"/>
      <c r="J12" s="662"/>
      <c r="K12" s="662"/>
      <c r="L12" s="661"/>
      <c r="M12" s="1443" t="s">
        <v>364</v>
      </c>
    </row>
    <row r="13" spans="1:13" s="642" customFormat="1" ht="32.1" customHeight="1">
      <c r="A13" s="1447"/>
      <c r="B13" s="1444"/>
      <c r="C13" s="1447"/>
      <c r="D13" s="1444"/>
      <c r="E13" s="1444"/>
      <c r="F13" s="1444" t="s">
        <v>365</v>
      </c>
      <c r="G13" s="743" t="s">
        <v>366</v>
      </c>
      <c r="H13" s="743" t="s">
        <v>367</v>
      </c>
      <c r="I13" s="743" t="s">
        <v>368</v>
      </c>
      <c r="J13" s="743" t="s">
        <v>369</v>
      </c>
      <c r="K13" s="743" t="s">
        <v>370</v>
      </c>
      <c r="L13" s="743" t="s">
        <v>371</v>
      </c>
      <c r="M13" s="1444"/>
    </row>
    <row r="14" spans="1:13" s="642" customFormat="1" ht="15" customHeight="1">
      <c r="A14" s="1448"/>
      <c r="B14" s="1449"/>
      <c r="C14" s="1448"/>
      <c r="D14" s="1445"/>
      <c r="E14" s="1445"/>
      <c r="F14" s="1445"/>
      <c r="G14" s="744">
        <v>0.12</v>
      </c>
      <c r="H14" s="744">
        <v>0.04</v>
      </c>
      <c r="I14" s="744">
        <v>0.1</v>
      </c>
      <c r="J14" s="744">
        <v>0</v>
      </c>
      <c r="K14" s="744">
        <v>0</v>
      </c>
      <c r="L14" s="744">
        <v>0</v>
      </c>
      <c r="M14" s="1445"/>
    </row>
    <row r="15" spans="1:13" ht="14.1" customHeight="1">
      <c r="A15" s="663" t="s">
        <v>791</v>
      </c>
      <c r="B15" s="663"/>
      <c r="C15" s="664"/>
      <c r="D15" s="665"/>
      <c r="E15" s="666"/>
      <c r="F15" s="666"/>
      <c r="G15" s="666"/>
      <c r="H15" s="666"/>
      <c r="I15" s="666"/>
      <c r="J15" s="666"/>
      <c r="K15" s="666"/>
      <c r="L15" s="666"/>
      <c r="M15" s="666"/>
    </row>
    <row r="16" spans="1:13" ht="26.25" customHeight="1">
      <c r="A16" s="667" t="s">
        <v>372</v>
      </c>
      <c r="B16" s="667"/>
      <c r="C16" s="668"/>
      <c r="D16" s="669"/>
      <c r="E16" s="670"/>
      <c r="F16" s="671"/>
      <c r="G16" s="671"/>
      <c r="H16" s="671"/>
      <c r="I16" s="671"/>
      <c r="J16" s="671"/>
      <c r="K16" s="671"/>
      <c r="L16" s="671"/>
      <c r="M16" s="672"/>
    </row>
    <row r="17" spans="1:13">
      <c r="A17" s="673"/>
      <c r="B17" s="673" t="s">
        <v>373</v>
      </c>
      <c r="C17" s="668">
        <v>2</v>
      </c>
      <c r="D17" s="674">
        <v>1.83</v>
      </c>
      <c r="E17" s="675">
        <f t="shared" ref="E17:E33" si="0">D17*LTTV</f>
        <v>3660000</v>
      </c>
      <c r="F17" s="675">
        <f t="shared" ref="F17:F68" si="1">$F$10</f>
        <v>210000</v>
      </c>
      <c r="G17" s="675">
        <f t="shared" ref="G17:G33" si="2">E17*luongphu</f>
        <v>439200</v>
      </c>
      <c r="H17" s="675">
        <f t="shared" ref="H17:H33" si="3">E17*khoantructiep</f>
        <v>146400</v>
      </c>
      <c r="I17" s="675">
        <f t="shared" ref="I17:I33" si="4">E17*KhongOndinhSX</f>
        <v>0</v>
      </c>
      <c r="J17" s="675">
        <f t="shared" ref="J17:J33" si="5">E17*thuhut</f>
        <v>0</v>
      </c>
      <c r="K17" s="675">
        <v>0</v>
      </c>
      <c r="L17" s="675"/>
      <c r="M17" s="675">
        <f>ROUND(SUM(E17:L17)/26,0)</f>
        <v>171369</v>
      </c>
    </row>
    <row r="18" spans="1:13">
      <c r="A18" s="673"/>
      <c r="B18" s="673" t="s">
        <v>374</v>
      </c>
      <c r="C18" s="668">
        <v>2.5</v>
      </c>
      <c r="D18" s="674">
        <v>1.9950000000000001</v>
      </c>
      <c r="E18" s="675">
        <f t="shared" si="0"/>
        <v>3990000</v>
      </c>
      <c r="F18" s="675">
        <f t="shared" si="1"/>
        <v>210000</v>
      </c>
      <c r="G18" s="675">
        <f t="shared" si="2"/>
        <v>478800</v>
      </c>
      <c r="H18" s="675">
        <f t="shared" si="3"/>
        <v>159600</v>
      </c>
      <c r="I18" s="675">
        <f t="shared" si="4"/>
        <v>0</v>
      </c>
      <c r="J18" s="675">
        <f t="shared" si="5"/>
        <v>0</v>
      </c>
      <c r="K18" s="675"/>
      <c r="L18" s="675"/>
      <c r="M18" s="675">
        <f t="shared" ref="M18:M33" si="6">ROUND(SUM(E18:L18)/26,0)</f>
        <v>186092</v>
      </c>
    </row>
    <row r="19" spans="1:13">
      <c r="A19" s="673"/>
      <c r="B19" s="673" t="s">
        <v>375</v>
      </c>
      <c r="C19" s="668">
        <v>2.7</v>
      </c>
      <c r="D19" s="674">
        <v>2.0609999999999999</v>
      </c>
      <c r="E19" s="675">
        <f t="shared" si="0"/>
        <v>4122000</v>
      </c>
      <c r="F19" s="675">
        <f t="shared" si="1"/>
        <v>210000</v>
      </c>
      <c r="G19" s="675">
        <f t="shared" si="2"/>
        <v>494640</v>
      </c>
      <c r="H19" s="675">
        <f t="shared" si="3"/>
        <v>164880</v>
      </c>
      <c r="I19" s="675">
        <f t="shared" si="4"/>
        <v>0</v>
      </c>
      <c r="J19" s="675">
        <f t="shared" si="5"/>
        <v>0</v>
      </c>
      <c r="K19" s="675"/>
      <c r="L19" s="675"/>
      <c r="M19" s="675">
        <f t="shared" si="6"/>
        <v>191982</v>
      </c>
    </row>
    <row r="20" spans="1:13">
      <c r="A20" s="673"/>
      <c r="B20" s="751" t="s">
        <v>376</v>
      </c>
      <c r="C20" s="668">
        <v>3</v>
      </c>
      <c r="D20" s="674">
        <v>2.16</v>
      </c>
      <c r="E20" s="675">
        <f t="shared" si="0"/>
        <v>4320000</v>
      </c>
      <c r="F20" s="675">
        <f t="shared" si="1"/>
        <v>210000</v>
      </c>
      <c r="G20" s="675">
        <f t="shared" si="2"/>
        <v>518400</v>
      </c>
      <c r="H20" s="675">
        <f t="shared" si="3"/>
        <v>172800</v>
      </c>
      <c r="I20" s="675">
        <f t="shared" si="4"/>
        <v>0</v>
      </c>
      <c r="J20" s="675">
        <f t="shared" si="5"/>
        <v>0</v>
      </c>
      <c r="K20" s="675"/>
      <c r="L20" s="675"/>
      <c r="M20" s="752">
        <f t="shared" si="6"/>
        <v>200815</v>
      </c>
    </row>
    <row r="21" spans="1:13">
      <c r="A21" s="673"/>
      <c r="B21" s="673" t="s">
        <v>377</v>
      </c>
      <c r="C21" s="668">
        <v>3.2</v>
      </c>
      <c r="D21" s="674">
        <v>2.238</v>
      </c>
      <c r="E21" s="675">
        <f t="shared" si="0"/>
        <v>4476000</v>
      </c>
      <c r="F21" s="675">
        <f t="shared" si="1"/>
        <v>210000</v>
      </c>
      <c r="G21" s="675">
        <f t="shared" si="2"/>
        <v>537120</v>
      </c>
      <c r="H21" s="675">
        <f t="shared" si="3"/>
        <v>179040</v>
      </c>
      <c r="I21" s="675">
        <f t="shared" si="4"/>
        <v>0</v>
      </c>
      <c r="J21" s="675">
        <f t="shared" si="5"/>
        <v>0</v>
      </c>
      <c r="K21" s="675"/>
      <c r="L21" s="675"/>
      <c r="M21" s="675">
        <f t="shared" si="6"/>
        <v>207775</v>
      </c>
    </row>
    <row r="22" spans="1:13">
      <c r="A22" s="673"/>
      <c r="B22" s="673" t="s">
        <v>378</v>
      </c>
      <c r="C22" s="668">
        <v>3.3</v>
      </c>
      <c r="D22" s="674">
        <v>2.2770000000000001</v>
      </c>
      <c r="E22" s="675">
        <f t="shared" si="0"/>
        <v>4554000</v>
      </c>
      <c r="F22" s="675">
        <f t="shared" si="1"/>
        <v>210000</v>
      </c>
      <c r="G22" s="675">
        <f t="shared" si="2"/>
        <v>546480</v>
      </c>
      <c r="H22" s="675">
        <f t="shared" si="3"/>
        <v>182160</v>
      </c>
      <c r="I22" s="675">
        <f t="shared" si="4"/>
        <v>0</v>
      </c>
      <c r="J22" s="675">
        <f t="shared" si="5"/>
        <v>0</v>
      </c>
      <c r="K22" s="675"/>
      <c r="L22" s="675"/>
      <c r="M22" s="675">
        <f t="shared" si="6"/>
        <v>211255</v>
      </c>
    </row>
    <row r="23" spans="1:13">
      <c r="A23" s="673"/>
      <c r="B23" s="751" t="s">
        <v>379</v>
      </c>
      <c r="C23" s="668">
        <v>3.5</v>
      </c>
      <c r="D23" s="674">
        <v>2.355</v>
      </c>
      <c r="E23" s="675">
        <f t="shared" si="0"/>
        <v>4710000</v>
      </c>
      <c r="F23" s="675">
        <f t="shared" si="1"/>
        <v>210000</v>
      </c>
      <c r="G23" s="675">
        <f t="shared" si="2"/>
        <v>565200</v>
      </c>
      <c r="H23" s="675">
        <f t="shared" si="3"/>
        <v>188400</v>
      </c>
      <c r="I23" s="675">
        <f t="shared" si="4"/>
        <v>0</v>
      </c>
      <c r="J23" s="675">
        <f t="shared" si="5"/>
        <v>0</v>
      </c>
      <c r="K23" s="675"/>
      <c r="L23" s="675"/>
      <c r="M23" s="752">
        <f t="shared" si="6"/>
        <v>218215</v>
      </c>
    </row>
    <row r="24" spans="1:13">
      <c r="A24" s="673"/>
      <c r="B24" s="673" t="s">
        <v>380</v>
      </c>
      <c r="C24" s="668">
        <v>3.7</v>
      </c>
      <c r="D24" s="674">
        <v>2.4329999999999998</v>
      </c>
      <c r="E24" s="675">
        <f t="shared" si="0"/>
        <v>4866000</v>
      </c>
      <c r="F24" s="675">
        <f t="shared" si="1"/>
        <v>210000</v>
      </c>
      <c r="G24" s="675">
        <f t="shared" si="2"/>
        <v>583920</v>
      </c>
      <c r="H24" s="675">
        <f t="shared" si="3"/>
        <v>194640</v>
      </c>
      <c r="I24" s="675">
        <f t="shared" si="4"/>
        <v>0</v>
      </c>
      <c r="J24" s="675">
        <f t="shared" si="5"/>
        <v>0</v>
      </c>
      <c r="K24" s="675"/>
      <c r="L24" s="675"/>
      <c r="M24" s="675">
        <f t="shared" si="6"/>
        <v>225175</v>
      </c>
    </row>
    <row r="25" spans="1:13">
      <c r="A25" s="673"/>
      <c r="B25" s="751" t="s">
        <v>381</v>
      </c>
      <c r="C25" s="668">
        <v>4</v>
      </c>
      <c r="D25" s="674">
        <v>2.5499999999999998</v>
      </c>
      <c r="E25" s="675">
        <f t="shared" si="0"/>
        <v>5100000</v>
      </c>
      <c r="F25" s="675">
        <f t="shared" si="1"/>
        <v>210000</v>
      </c>
      <c r="G25" s="675">
        <f t="shared" si="2"/>
        <v>612000</v>
      </c>
      <c r="H25" s="675">
        <f t="shared" si="3"/>
        <v>204000</v>
      </c>
      <c r="I25" s="675">
        <f t="shared" si="4"/>
        <v>0</v>
      </c>
      <c r="J25" s="675">
        <f t="shared" si="5"/>
        <v>0</v>
      </c>
      <c r="K25" s="675"/>
      <c r="L25" s="675"/>
      <c r="M25" s="752">
        <f t="shared" si="6"/>
        <v>235615</v>
      </c>
    </row>
    <row r="26" spans="1:13">
      <c r="A26" s="673"/>
      <c r="B26" s="673" t="s">
        <v>382</v>
      </c>
      <c r="C26" s="668">
        <v>4.3</v>
      </c>
      <c r="D26" s="674">
        <v>2.6879999999999997</v>
      </c>
      <c r="E26" s="675">
        <f t="shared" si="0"/>
        <v>5375999.9999999991</v>
      </c>
      <c r="F26" s="675">
        <f t="shared" si="1"/>
        <v>210000</v>
      </c>
      <c r="G26" s="675">
        <f t="shared" si="2"/>
        <v>645119.99999999988</v>
      </c>
      <c r="H26" s="675">
        <f t="shared" si="3"/>
        <v>215039.99999999997</v>
      </c>
      <c r="I26" s="675">
        <f t="shared" si="4"/>
        <v>0</v>
      </c>
      <c r="J26" s="675">
        <f t="shared" si="5"/>
        <v>0</v>
      </c>
      <c r="K26" s="675"/>
      <c r="L26" s="675"/>
      <c r="M26" s="675">
        <f t="shared" si="6"/>
        <v>247929</v>
      </c>
    </row>
    <row r="27" spans="1:13">
      <c r="A27" s="673"/>
      <c r="B27" s="751" t="s">
        <v>383</v>
      </c>
      <c r="C27" s="668">
        <v>4.5</v>
      </c>
      <c r="D27" s="674">
        <v>2.78</v>
      </c>
      <c r="E27" s="675">
        <f t="shared" si="0"/>
        <v>5560000</v>
      </c>
      <c r="F27" s="675">
        <f t="shared" si="1"/>
        <v>210000</v>
      </c>
      <c r="G27" s="675">
        <f t="shared" si="2"/>
        <v>667200</v>
      </c>
      <c r="H27" s="675">
        <f t="shared" si="3"/>
        <v>222400</v>
      </c>
      <c r="I27" s="675">
        <f t="shared" si="4"/>
        <v>0</v>
      </c>
      <c r="J27" s="675">
        <f t="shared" si="5"/>
        <v>0</v>
      </c>
      <c r="K27" s="675"/>
      <c r="L27" s="675"/>
      <c r="M27" s="752">
        <f t="shared" si="6"/>
        <v>256138</v>
      </c>
    </row>
    <row r="28" spans="1:13">
      <c r="A28" s="673"/>
      <c r="B28" s="673" t="s">
        <v>384</v>
      </c>
      <c r="C28" s="668">
        <v>4.7</v>
      </c>
      <c r="D28" s="674">
        <v>2.8719999999999999</v>
      </c>
      <c r="E28" s="675">
        <f t="shared" si="0"/>
        <v>5744000</v>
      </c>
      <c r="F28" s="675">
        <f t="shared" si="1"/>
        <v>210000</v>
      </c>
      <c r="G28" s="675">
        <f t="shared" si="2"/>
        <v>689280</v>
      </c>
      <c r="H28" s="675">
        <f t="shared" si="3"/>
        <v>229760</v>
      </c>
      <c r="I28" s="675">
        <f t="shared" si="4"/>
        <v>0</v>
      </c>
      <c r="J28" s="675">
        <f t="shared" si="5"/>
        <v>0</v>
      </c>
      <c r="K28" s="675"/>
      <c r="L28" s="675"/>
      <c r="M28" s="675">
        <f t="shared" si="6"/>
        <v>264348</v>
      </c>
    </row>
    <row r="29" spans="1:13">
      <c r="A29" s="673"/>
      <c r="B29" s="751" t="s">
        <v>385</v>
      </c>
      <c r="C29" s="668">
        <v>5</v>
      </c>
      <c r="D29" s="674">
        <v>3.01</v>
      </c>
      <c r="E29" s="675">
        <f t="shared" si="0"/>
        <v>6020000</v>
      </c>
      <c r="F29" s="675">
        <f t="shared" si="1"/>
        <v>210000</v>
      </c>
      <c r="G29" s="675">
        <f t="shared" si="2"/>
        <v>722400</v>
      </c>
      <c r="H29" s="675">
        <f t="shared" si="3"/>
        <v>240800</v>
      </c>
      <c r="I29" s="675">
        <f t="shared" si="4"/>
        <v>0</v>
      </c>
      <c r="J29" s="675">
        <f t="shared" si="5"/>
        <v>0</v>
      </c>
      <c r="K29" s="675"/>
      <c r="L29" s="675"/>
      <c r="M29" s="752">
        <f t="shared" si="6"/>
        <v>276662</v>
      </c>
    </row>
    <row r="30" spans="1:13">
      <c r="A30" s="673"/>
      <c r="B30" s="673" t="s">
        <v>386</v>
      </c>
      <c r="C30" s="668">
        <v>5.2</v>
      </c>
      <c r="D30" s="674">
        <v>3.1199999999999997</v>
      </c>
      <c r="E30" s="675">
        <f t="shared" si="0"/>
        <v>6239999.9999999991</v>
      </c>
      <c r="F30" s="675">
        <f t="shared" si="1"/>
        <v>210000</v>
      </c>
      <c r="G30" s="675">
        <f t="shared" si="2"/>
        <v>748799.99999999988</v>
      </c>
      <c r="H30" s="675">
        <f t="shared" si="3"/>
        <v>249599.99999999997</v>
      </c>
      <c r="I30" s="675">
        <f t="shared" si="4"/>
        <v>0</v>
      </c>
      <c r="J30" s="675">
        <f t="shared" si="5"/>
        <v>0</v>
      </c>
      <c r="K30" s="675"/>
      <c r="L30" s="675"/>
      <c r="M30" s="675">
        <f t="shared" si="6"/>
        <v>286477</v>
      </c>
    </row>
    <row r="31" spans="1:13">
      <c r="A31" s="673"/>
      <c r="B31" s="673" t="s">
        <v>387</v>
      </c>
      <c r="C31" s="668">
        <v>5.5</v>
      </c>
      <c r="D31" s="674">
        <v>3.2850000000000001</v>
      </c>
      <c r="E31" s="675">
        <f t="shared" si="0"/>
        <v>6570000</v>
      </c>
      <c r="F31" s="675">
        <f t="shared" si="1"/>
        <v>210000</v>
      </c>
      <c r="G31" s="675">
        <f t="shared" si="2"/>
        <v>788400</v>
      </c>
      <c r="H31" s="675">
        <f t="shared" si="3"/>
        <v>262800</v>
      </c>
      <c r="I31" s="675">
        <f t="shared" si="4"/>
        <v>0</v>
      </c>
      <c r="J31" s="675">
        <f t="shared" si="5"/>
        <v>0</v>
      </c>
      <c r="K31" s="675"/>
      <c r="L31" s="675"/>
      <c r="M31" s="675">
        <f t="shared" si="6"/>
        <v>301200</v>
      </c>
    </row>
    <row r="32" spans="1:13">
      <c r="A32" s="673"/>
      <c r="B32" s="751" t="s">
        <v>388</v>
      </c>
      <c r="C32" s="668">
        <v>6</v>
      </c>
      <c r="D32" s="674">
        <v>3.56</v>
      </c>
      <c r="E32" s="675">
        <f t="shared" si="0"/>
        <v>7120000</v>
      </c>
      <c r="F32" s="675">
        <f t="shared" si="1"/>
        <v>210000</v>
      </c>
      <c r="G32" s="675">
        <f t="shared" si="2"/>
        <v>854400</v>
      </c>
      <c r="H32" s="675">
        <f t="shared" si="3"/>
        <v>284800</v>
      </c>
      <c r="I32" s="675">
        <f t="shared" si="4"/>
        <v>0</v>
      </c>
      <c r="J32" s="675">
        <f t="shared" si="5"/>
        <v>0</v>
      </c>
      <c r="K32" s="675"/>
      <c r="L32" s="675"/>
      <c r="M32" s="752">
        <f t="shared" si="6"/>
        <v>325738</v>
      </c>
    </row>
    <row r="33" spans="1:14">
      <c r="A33" s="673"/>
      <c r="B33" s="751" t="s">
        <v>389</v>
      </c>
      <c r="C33" s="668">
        <v>7</v>
      </c>
      <c r="D33" s="674">
        <v>4.2</v>
      </c>
      <c r="E33" s="675">
        <f t="shared" si="0"/>
        <v>8400000</v>
      </c>
      <c r="F33" s="675">
        <f t="shared" si="1"/>
        <v>210000</v>
      </c>
      <c r="G33" s="675">
        <f t="shared" si="2"/>
        <v>1008000</v>
      </c>
      <c r="H33" s="675">
        <f t="shared" si="3"/>
        <v>336000</v>
      </c>
      <c r="I33" s="675">
        <f t="shared" si="4"/>
        <v>0</v>
      </c>
      <c r="J33" s="675">
        <f t="shared" si="5"/>
        <v>0</v>
      </c>
      <c r="K33" s="675"/>
      <c r="L33" s="675"/>
      <c r="M33" s="752">
        <f t="shared" si="6"/>
        <v>382846</v>
      </c>
    </row>
    <row r="34" spans="1:14" ht="22.5" customHeight="1">
      <c r="A34" s="667" t="s">
        <v>390</v>
      </c>
      <c r="B34" s="667"/>
      <c r="C34" s="668"/>
      <c r="D34" s="674"/>
      <c r="E34" s="675"/>
      <c r="F34" s="675"/>
      <c r="G34" s="675"/>
      <c r="H34" s="675"/>
      <c r="I34" s="675"/>
      <c r="J34" s="675"/>
      <c r="K34" s="675"/>
      <c r="L34" s="675"/>
      <c r="M34" s="675"/>
    </row>
    <row r="35" spans="1:14">
      <c r="A35" s="673"/>
      <c r="B35" s="676" t="s">
        <v>391</v>
      </c>
      <c r="C35" s="668">
        <v>2</v>
      </c>
      <c r="D35" s="674">
        <v>1.96</v>
      </c>
      <c r="E35" s="675">
        <f t="shared" ref="E35:E50" si="7">D35*LTTV</f>
        <v>3920000</v>
      </c>
      <c r="F35" s="675">
        <f t="shared" si="1"/>
        <v>210000</v>
      </c>
      <c r="G35" s="675">
        <f t="shared" ref="G35:G50" si="8">E35*luongphu</f>
        <v>470400</v>
      </c>
      <c r="H35" s="675">
        <f t="shared" ref="H35:H50" si="9">E35*khoantructiep</f>
        <v>156800</v>
      </c>
      <c r="I35" s="675">
        <f t="shared" ref="I35:I50" si="10">E35*KhongOndinhSX</f>
        <v>0</v>
      </c>
      <c r="J35" s="675">
        <f t="shared" ref="J35:J50" si="11">E35*thuhut</f>
        <v>0</v>
      </c>
      <c r="K35" s="677"/>
      <c r="L35" s="677"/>
      <c r="M35" s="677">
        <f t="shared" ref="M35:M50" si="12">ROUND(SUM(E35:L35)/26,0)</f>
        <v>182969</v>
      </c>
    </row>
    <row r="36" spans="1:14">
      <c r="A36" s="673"/>
      <c r="B36" s="673" t="s">
        <v>392</v>
      </c>
      <c r="C36" s="668">
        <v>2.5</v>
      </c>
      <c r="D36" s="674">
        <v>2.1349999999999998</v>
      </c>
      <c r="E36" s="675">
        <f t="shared" si="7"/>
        <v>4270000</v>
      </c>
      <c r="F36" s="675">
        <f t="shared" si="1"/>
        <v>210000</v>
      </c>
      <c r="G36" s="675">
        <f t="shared" si="8"/>
        <v>512400</v>
      </c>
      <c r="H36" s="675">
        <f t="shared" si="9"/>
        <v>170800</v>
      </c>
      <c r="I36" s="675">
        <f t="shared" si="10"/>
        <v>0</v>
      </c>
      <c r="J36" s="675">
        <f t="shared" si="11"/>
        <v>0</v>
      </c>
      <c r="K36" s="675"/>
      <c r="L36" s="675"/>
      <c r="M36" s="675">
        <f t="shared" si="12"/>
        <v>198585</v>
      </c>
    </row>
    <row r="37" spans="1:14">
      <c r="A37" s="673"/>
      <c r="B37" s="673" t="s">
        <v>393</v>
      </c>
      <c r="C37" s="668">
        <v>2.7</v>
      </c>
      <c r="D37" s="674">
        <v>2.2050000000000001</v>
      </c>
      <c r="E37" s="675">
        <f t="shared" si="7"/>
        <v>4410000</v>
      </c>
      <c r="F37" s="675">
        <f t="shared" si="1"/>
        <v>210000</v>
      </c>
      <c r="G37" s="675">
        <f t="shared" si="8"/>
        <v>529200</v>
      </c>
      <c r="H37" s="675">
        <f t="shared" si="9"/>
        <v>176400</v>
      </c>
      <c r="I37" s="675">
        <f t="shared" si="10"/>
        <v>0</v>
      </c>
      <c r="J37" s="675">
        <f t="shared" si="11"/>
        <v>0</v>
      </c>
      <c r="K37" s="675"/>
      <c r="L37" s="675"/>
      <c r="M37" s="675">
        <f t="shared" si="12"/>
        <v>204831</v>
      </c>
    </row>
    <row r="38" spans="1:14">
      <c r="A38" s="673"/>
      <c r="B38" s="676" t="s">
        <v>394</v>
      </c>
      <c r="C38" s="668">
        <v>3</v>
      </c>
      <c r="D38" s="674">
        <v>2.31</v>
      </c>
      <c r="E38" s="675">
        <f t="shared" si="7"/>
        <v>4620000</v>
      </c>
      <c r="F38" s="675">
        <f t="shared" si="1"/>
        <v>210000</v>
      </c>
      <c r="G38" s="675">
        <f t="shared" si="8"/>
        <v>554400</v>
      </c>
      <c r="H38" s="675">
        <f t="shared" si="9"/>
        <v>184800</v>
      </c>
      <c r="I38" s="675">
        <f t="shared" si="10"/>
        <v>0</v>
      </c>
      <c r="J38" s="675">
        <f t="shared" si="11"/>
        <v>0</v>
      </c>
      <c r="K38" s="677"/>
      <c r="L38" s="677"/>
      <c r="M38" s="677">
        <f t="shared" si="12"/>
        <v>214200</v>
      </c>
    </row>
    <row r="39" spans="1:14">
      <c r="A39" s="673"/>
      <c r="B39" s="673" t="s">
        <v>395</v>
      </c>
      <c r="C39" s="668">
        <v>3.2</v>
      </c>
      <c r="D39" s="674">
        <v>2.39</v>
      </c>
      <c r="E39" s="675">
        <f t="shared" si="7"/>
        <v>4780000</v>
      </c>
      <c r="F39" s="675">
        <f t="shared" si="1"/>
        <v>210000</v>
      </c>
      <c r="G39" s="675">
        <f t="shared" si="8"/>
        <v>573600</v>
      </c>
      <c r="H39" s="675">
        <f t="shared" si="9"/>
        <v>191200</v>
      </c>
      <c r="I39" s="675">
        <f t="shared" si="10"/>
        <v>0</v>
      </c>
      <c r="J39" s="675">
        <f t="shared" si="11"/>
        <v>0</v>
      </c>
      <c r="K39" s="675"/>
      <c r="L39" s="675"/>
      <c r="M39" s="675">
        <f t="shared" si="12"/>
        <v>221338</v>
      </c>
    </row>
    <row r="40" spans="1:14">
      <c r="A40" s="673"/>
      <c r="B40" s="676" t="s">
        <v>396</v>
      </c>
      <c r="C40" s="668">
        <v>3.5</v>
      </c>
      <c r="D40" s="674">
        <v>2.5099999999999998</v>
      </c>
      <c r="E40" s="675">
        <f t="shared" si="7"/>
        <v>5020000</v>
      </c>
      <c r="F40" s="675">
        <f t="shared" si="1"/>
        <v>210000</v>
      </c>
      <c r="G40" s="675">
        <f t="shared" si="8"/>
        <v>602400</v>
      </c>
      <c r="H40" s="675">
        <f t="shared" si="9"/>
        <v>200800</v>
      </c>
      <c r="I40" s="675">
        <f t="shared" si="10"/>
        <v>0</v>
      </c>
      <c r="J40" s="675">
        <f t="shared" si="11"/>
        <v>0</v>
      </c>
      <c r="K40" s="677"/>
      <c r="L40" s="677"/>
      <c r="M40" s="677">
        <f t="shared" si="12"/>
        <v>232046</v>
      </c>
    </row>
    <row r="41" spans="1:14">
      <c r="A41" s="673"/>
      <c r="B41" s="673" t="s">
        <v>397</v>
      </c>
      <c r="C41" s="668">
        <v>3.7</v>
      </c>
      <c r="D41" s="674">
        <v>2.59</v>
      </c>
      <c r="E41" s="675">
        <f t="shared" si="7"/>
        <v>5180000</v>
      </c>
      <c r="F41" s="675">
        <f t="shared" si="1"/>
        <v>210000</v>
      </c>
      <c r="G41" s="675">
        <f t="shared" si="8"/>
        <v>621600</v>
      </c>
      <c r="H41" s="675">
        <f t="shared" si="9"/>
        <v>207200</v>
      </c>
      <c r="I41" s="675">
        <f t="shared" si="10"/>
        <v>0</v>
      </c>
      <c r="J41" s="675">
        <f t="shared" si="11"/>
        <v>0</v>
      </c>
      <c r="K41" s="675"/>
      <c r="L41" s="675"/>
      <c r="M41" s="675">
        <f t="shared" si="12"/>
        <v>239185</v>
      </c>
    </row>
    <row r="42" spans="1:14">
      <c r="A42" s="673"/>
      <c r="B42" s="676" t="s">
        <v>398</v>
      </c>
      <c r="C42" s="668">
        <v>4</v>
      </c>
      <c r="D42" s="674">
        <v>2.71</v>
      </c>
      <c r="E42" s="675">
        <f t="shared" si="7"/>
        <v>5420000</v>
      </c>
      <c r="F42" s="675">
        <f t="shared" si="1"/>
        <v>210000</v>
      </c>
      <c r="G42" s="675">
        <f t="shared" si="8"/>
        <v>650400</v>
      </c>
      <c r="H42" s="675">
        <f t="shared" si="9"/>
        <v>216800</v>
      </c>
      <c r="I42" s="675">
        <f t="shared" si="10"/>
        <v>0</v>
      </c>
      <c r="J42" s="675">
        <f t="shared" si="11"/>
        <v>0</v>
      </c>
      <c r="K42" s="677"/>
      <c r="L42" s="677"/>
      <c r="M42" s="677">
        <f t="shared" si="12"/>
        <v>249892</v>
      </c>
    </row>
    <row r="43" spans="1:14">
      <c r="A43" s="673"/>
      <c r="B43" s="673" t="s">
        <v>399</v>
      </c>
      <c r="C43" s="668">
        <v>4.2</v>
      </c>
      <c r="D43" s="674">
        <v>2.806</v>
      </c>
      <c r="E43" s="675">
        <f t="shared" si="7"/>
        <v>5612000</v>
      </c>
      <c r="F43" s="675">
        <f t="shared" si="1"/>
        <v>210000</v>
      </c>
      <c r="G43" s="675">
        <f t="shared" si="8"/>
        <v>673440</v>
      </c>
      <c r="H43" s="675">
        <f t="shared" si="9"/>
        <v>224480</v>
      </c>
      <c r="I43" s="675">
        <f t="shared" si="10"/>
        <v>0</v>
      </c>
      <c r="J43" s="675">
        <f t="shared" si="11"/>
        <v>0</v>
      </c>
      <c r="K43" s="675"/>
      <c r="L43" s="675"/>
      <c r="M43" s="675">
        <f t="shared" si="12"/>
        <v>258458</v>
      </c>
    </row>
    <row r="44" spans="1:14">
      <c r="A44" s="673"/>
      <c r="B44" s="676" t="s">
        <v>400</v>
      </c>
      <c r="C44" s="668">
        <v>4.5</v>
      </c>
      <c r="D44" s="674">
        <v>2.95</v>
      </c>
      <c r="E44" s="675">
        <f t="shared" si="7"/>
        <v>5900000</v>
      </c>
      <c r="F44" s="675">
        <f t="shared" si="1"/>
        <v>210000</v>
      </c>
      <c r="G44" s="675">
        <f t="shared" si="8"/>
        <v>708000</v>
      </c>
      <c r="H44" s="675">
        <f t="shared" si="9"/>
        <v>236000</v>
      </c>
      <c r="I44" s="675">
        <f t="shared" si="10"/>
        <v>0</v>
      </c>
      <c r="J44" s="675">
        <f t="shared" si="11"/>
        <v>0</v>
      </c>
      <c r="K44" s="677"/>
      <c r="L44" s="677"/>
      <c r="M44" s="677">
        <f t="shared" si="12"/>
        <v>271308</v>
      </c>
      <c r="N44" s="750"/>
    </row>
    <row r="45" spans="1:14">
      <c r="A45" s="673"/>
      <c r="B45" s="673" t="s">
        <v>401</v>
      </c>
      <c r="C45" s="668">
        <v>4.7</v>
      </c>
      <c r="D45" s="674">
        <v>3.0459999999999998</v>
      </c>
      <c r="E45" s="675">
        <f t="shared" si="7"/>
        <v>6092000</v>
      </c>
      <c r="F45" s="675">
        <f t="shared" si="1"/>
        <v>210000</v>
      </c>
      <c r="G45" s="675">
        <f t="shared" si="8"/>
        <v>731040</v>
      </c>
      <c r="H45" s="675">
        <f t="shared" si="9"/>
        <v>243680</v>
      </c>
      <c r="I45" s="675">
        <f t="shared" si="10"/>
        <v>0</v>
      </c>
      <c r="J45" s="675">
        <f t="shared" si="11"/>
        <v>0</v>
      </c>
      <c r="K45" s="675"/>
      <c r="L45" s="675"/>
      <c r="M45" s="675">
        <f t="shared" si="12"/>
        <v>279874</v>
      </c>
    </row>
    <row r="46" spans="1:14">
      <c r="A46" s="673"/>
      <c r="B46" s="676" t="s">
        <v>402</v>
      </c>
      <c r="C46" s="668">
        <v>5</v>
      </c>
      <c r="D46" s="674">
        <v>3.19</v>
      </c>
      <c r="E46" s="675">
        <f t="shared" si="7"/>
        <v>6380000</v>
      </c>
      <c r="F46" s="675">
        <f t="shared" si="1"/>
        <v>210000</v>
      </c>
      <c r="G46" s="675">
        <f t="shared" si="8"/>
        <v>765600</v>
      </c>
      <c r="H46" s="675">
        <f t="shared" si="9"/>
        <v>255200</v>
      </c>
      <c r="I46" s="675">
        <f t="shared" si="10"/>
        <v>0</v>
      </c>
      <c r="J46" s="675">
        <f t="shared" si="11"/>
        <v>0</v>
      </c>
      <c r="K46" s="677"/>
      <c r="L46" s="677"/>
      <c r="M46" s="677">
        <f t="shared" si="12"/>
        <v>292723</v>
      </c>
    </row>
    <row r="47" spans="1:14">
      <c r="A47" s="673"/>
      <c r="B47" s="673" t="s">
        <v>403</v>
      </c>
      <c r="C47" s="668">
        <v>5.2</v>
      </c>
      <c r="D47" s="674">
        <v>3.3</v>
      </c>
      <c r="E47" s="675">
        <f t="shared" si="7"/>
        <v>6600000</v>
      </c>
      <c r="F47" s="675">
        <f t="shared" si="1"/>
        <v>210000</v>
      </c>
      <c r="G47" s="675">
        <f t="shared" si="8"/>
        <v>792000</v>
      </c>
      <c r="H47" s="675">
        <f t="shared" si="9"/>
        <v>264000</v>
      </c>
      <c r="I47" s="675">
        <f t="shared" si="10"/>
        <v>0</v>
      </c>
      <c r="J47" s="675">
        <f t="shared" si="11"/>
        <v>0</v>
      </c>
      <c r="K47" s="675"/>
      <c r="L47" s="675"/>
      <c r="M47" s="675">
        <f t="shared" si="12"/>
        <v>302538</v>
      </c>
    </row>
    <row r="48" spans="1:14">
      <c r="A48" s="673"/>
      <c r="B48" s="673" t="s">
        <v>404</v>
      </c>
      <c r="C48" s="668">
        <v>5.5</v>
      </c>
      <c r="D48" s="674">
        <v>3.4649999999999999</v>
      </c>
      <c r="E48" s="675">
        <f t="shared" si="7"/>
        <v>6930000</v>
      </c>
      <c r="F48" s="675">
        <f t="shared" si="1"/>
        <v>210000</v>
      </c>
      <c r="G48" s="675">
        <f t="shared" si="8"/>
        <v>831600</v>
      </c>
      <c r="H48" s="675">
        <f t="shared" si="9"/>
        <v>277200</v>
      </c>
      <c r="I48" s="675">
        <f t="shared" si="10"/>
        <v>0</v>
      </c>
      <c r="J48" s="675">
        <f t="shared" si="11"/>
        <v>0</v>
      </c>
      <c r="K48" s="675"/>
      <c r="L48" s="675"/>
      <c r="M48" s="675">
        <f t="shared" si="12"/>
        <v>317262</v>
      </c>
    </row>
    <row r="49" spans="1:16">
      <c r="A49" s="673"/>
      <c r="B49" s="676" t="s">
        <v>405</v>
      </c>
      <c r="C49" s="668">
        <v>6</v>
      </c>
      <c r="D49" s="674">
        <v>3.74</v>
      </c>
      <c r="E49" s="675">
        <f t="shared" si="7"/>
        <v>7480000</v>
      </c>
      <c r="F49" s="675">
        <f t="shared" si="1"/>
        <v>210000</v>
      </c>
      <c r="G49" s="675">
        <f t="shared" si="8"/>
        <v>897600</v>
      </c>
      <c r="H49" s="675">
        <f t="shared" si="9"/>
        <v>299200</v>
      </c>
      <c r="I49" s="675">
        <f t="shared" si="10"/>
        <v>0</v>
      </c>
      <c r="J49" s="675">
        <f t="shared" si="11"/>
        <v>0</v>
      </c>
      <c r="K49" s="677"/>
      <c r="L49" s="677"/>
      <c r="M49" s="677">
        <f t="shared" si="12"/>
        <v>341800</v>
      </c>
    </row>
    <row r="50" spans="1:16">
      <c r="A50" s="673"/>
      <c r="B50" s="676" t="s">
        <v>406</v>
      </c>
      <c r="C50" s="668">
        <v>7</v>
      </c>
      <c r="D50" s="674">
        <v>4.4000000000000004</v>
      </c>
      <c r="E50" s="675">
        <f t="shared" si="7"/>
        <v>8800000</v>
      </c>
      <c r="F50" s="675">
        <f t="shared" si="1"/>
        <v>210000</v>
      </c>
      <c r="G50" s="675">
        <f t="shared" si="8"/>
        <v>1056000</v>
      </c>
      <c r="H50" s="675">
        <f t="shared" si="9"/>
        <v>352000</v>
      </c>
      <c r="I50" s="675">
        <f t="shared" si="10"/>
        <v>0</v>
      </c>
      <c r="J50" s="675">
        <f t="shared" si="11"/>
        <v>0</v>
      </c>
      <c r="K50" s="677"/>
      <c r="L50" s="677"/>
      <c r="M50" s="677">
        <f t="shared" si="12"/>
        <v>400692</v>
      </c>
    </row>
    <row r="51" spans="1:16" ht="24" customHeight="1">
      <c r="A51" s="667" t="s">
        <v>407</v>
      </c>
      <c r="B51" s="667"/>
      <c r="C51" s="668"/>
      <c r="D51" s="674"/>
      <c r="E51" s="675"/>
      <c r="F51" s="675"/>
      <c r="G51" s="675"/>
      <c r="H51" s="675"/>
      <c r="I51" s="675"/>
      <c r="J51" s="675"/>
      <c r="K51" s="675"/>
      <c r="L51" s="675"/>
      <c r="M51" s="675"/>
    </row>
    <row r="52" spans="1:16">
      <c r="A52" s="673"/>
      <c r="B52" s="751" t="s">
        <v>408</v>
      </c>
      <c r="C52" s="668">
        <v>2</v>
      </c>
      <c r="D52" s="674">
        <v>2.1800000000000002</v>
      </c>
      <c r="E52" s="675">
        <f t="shared" ref="E52:E68" si="13">D52*LTTV</f>
        <v>4360000</v>
      </c>
      <c r="F52" s="675">
        <f t="shared" si="1"/>
        <v>210000</v>
      </c>
      <c r="G52" s="675">
        <f t="shared" ref="G52:G68" si="14">E52*luongphu</f>
        <v>523200</v>
      </c>
      <c r="H52" s="675">
        <f t="shared" ref="H52:H68" si="15">E52*khoantructiep</f>
        <v>174400</v>
      </c>
      <c r="I52" s="675">
        <f t="shared" ref="I52:I68" si="16">E52*KhongOndinhSX</f>
        <v>0</v>
      </c>
      <c r="J52" s="675">
        <f t="shared" ref="J52:J68" si="17">E52*thuhut</f>
        <v>0</v>
      </c>
      <c r="K52" s="675"/>
      <c r="L52" s="675"/>
      <c r="M52" s="752">
        <f t="shared" ref="M52:M68" si="18">ROUND(SUM(E52:L52)/26,0)</f>
        <v>202600</v>
      </c>
    </row>
    <row r="53" spans="1:16">
      <c r="A53" s="673"/>
      <c r="B53" s="673" t="s">
        <v>409</v>
      </c>
      <c r="C53" s="668">
        <v>2.5</v>
      </c>
      <c r="D53" s="674">
        <v>2.37</v>
      </c>
      <c r="E53" s="675">
        <f t="shared" si="13"/>
        <v>4740000</v>
      </c>
      <c r="F53" s="675">
        <f t="shared" si="1"/>
        <v>210000</v>
      </c>
      <c r="G53" s="675">
        <f t="shared" si="14"/>
        <v>568800</v>
      </c>
      <c r="H53" s="675">
        <f t="shared" si="15"/>
        <v>189600</v>
      </c>
      <c r="I53" s="675">
        <f t="shared" si="16"/>
        <v>0</v>
      </c>
      <c r="J53" s="675">
        <f t="shared" si="17"/>
        <v>0</v>
      </c>
      <c r="K53" s="675"/>
      <c r="L53" s="675"/>
      <c r="M53" s="675">
        <f t="shared" si="18"/>
        <v>219554</v>
      </c>
    </row>
    <row r="54" spans="1:16">
      <c r="A54" s="673"/>
      <c r="B54" s="673" t="s">
        <v>410</v>
      </c>
      <c r="C54" s="668">
        <v>2.7</v>
      </c>
      <c r="D54" s="674">
        <v>2.4460000000000002</v>
      </c>
      <c r="E54" s="675">
        <f t="shared" si="13"/>
        <v>4892000</v>
      </c>
      <c r="F54" s="675">
        <f t="shared" si="1"/>
        <v>210000</v>
      </c>
      <c r="G54" s="675">
        <f t="shared" si="14"/>
        <v>587040</v>
      </c>
      <c r="H54" s="675">
        <f t="shared" si="15"/>
        <v>195680</v>
      </c>
      <c r="I54" s="675">
        <f t="shared" si="16"/>
        <v>0</v>
      </c>
      <c r="J54" s="675">
        <f t="shared" si="17"/>
        <v>0</v>
      </c>
      <c r="K54" s="675"/>
      <c r="L54" s="675"/>
      <c r="M54" s="675">
        <f t="shared" si="18"/>
        <v>226335</v>
      </c>
      <c r="P54" s="749"/>
    </row>
    <row r="55" spans="1:16">
      <c r="A55" s="673"/>
      <c r="B55" s="751" t="s">
        <v>411</v>
      </c>
      <c r="C55" s="668">
        <v>3</v>
      </c>
      <c r="D55" s="674">
        <v>2.56</v>
      </c>
      <c r="E55" s="675">
        <f t="shared" si="13"/>
        <v>5120000</v>
      </c>
      <c r="F55" s="675">
        <f t="shared" si="1"/>
        <v>210000</v>
      </c>
      <c r="G55" s="675">
        <f t="shared" si="14"/>
        <v>614400</v>
      </c>
      <c r="H55" s="675">
        <f t="shared" si="15"/>
        <v>204800</v>
      </c>
      <c r="I55" s="675">
        <f t="shared" si="16"/>
        <v>0</v>
      </c>
      <c r="J55" s="675">
        <f t="shared" si="17"/>
        <v>0</v>
      </c>
      <c r="K55" s="675"/>
      <c r="L55" s="675"/>
      <c r="M55" s="752">
        <f t="shared" si="18"/>
        <v>236508</v>
      </c>
    </row>
    <row r="56" spans="1:16">
      <c r="A56" s="673"/>
      <c r="B56" s="673" t="s">
        <v>412</v>
      </c>
      <c r="C56" s="668">
        <v>3.2</v>
      </c>
      <c r="D56" s="674">
        <v>2.65</v>
      </c>
      <c r="E56" s="675">
        <f t="shared" si="13"/>
        <v>5300000</v>
      </c>
      <c r="F56" s="675">
        <f t="shared" si="1"/>
        <v>210000</v>
      </c>
      <c r="G56" s="675">
        <f t="shared" si="14"/>
        <v>636000</v>
      </c>
      <c r="H56" s="675">
        <f t="shared" si="15"/>
        <v>212000</v>
      </c>
      <c r="I56" s="675">
        <f t="shared" si="16"/>
        <v>0</v>
      </c>
      <c r="J56" s="675">
        <f t="shared" si="17"/>
        <v>0</v>
      </c>
      <c r="K56" s="675"/>
      <c r="L56" s="675"/>
      <c r="M56" s="675">
        <f t="shared" si="18"/>
        <v>244538</v>
      </c>
    </row>
    <row r="57" spans="1:16">
      <c r="A57" s="673"/>
      <c r="B57" s="751" t="s">
        <v>413</v>
      </c>
      <c r="C57" s="668">
        <v>3.5</v>
      </c>
      <c r="D57" s="674">
        <v>2.7850000000000001</v>
      </c>
      <c r="E57" s="675">
        <f t="shared" si="13"/>
        <v>5570000</v>
      </c>
      <c r="F57" s="675">
        <f t="shared" si="1"/>
        <v>210000</v>
      </c>
      <c r="G57" s="675">
        <f t="shared" si="14"/>
        <v>668400</v>
      </c>
      <c r="H57" s="675">
        <f t="shared" si="15"/>
        <v>222800</v>
      </c>
      <c r="I57" s="675">
        <f t="shared" si="16"/>
        <v>0</v>
      </c>
      <c r="J57" s="675">
        <f t="shared" si="17"/>
        <v>0</v>
      </c>
      <c r="K57" s="675"/>
      <c r="L57" s="675"/>
      <c r="M57" s="752">
        <f t="shared" si="18"/>
        <v>256585</v>
      </c>
    </row>
    <row r="58" spans="1:16">
      <c r="A58" s="673"/>
      <c r="B58" s="673" t="s">
        <v>414</v>
      </c>
      <c r="C58" s="668">
        <v>3.7</v>
      </c>
      <c r="D58" s="674">
        <v>2.875</v>
      </c>
      <c r="E58" s="675">
        <f t="shared" si="13"/>
        <v>5750000</v>
      </c>
      <c r="F58" s="675">
        <f t="shared" si="1"/>
        <v>210000</v>
      </c>
      <c r="G58" s="675">
        <f t="shared" si="14"/>
        <v>690000</v>
      </c>
      <c r="H58" s="675">
        <f t="shared" si="15"/>
        <v>230000</v>
      </c>
      <c r="I58" s="675">
        <f t="shared" si="16"/>
        <v>0</v>
      </c>
      <c r="J58" s="675">
        <f t="shared" si="17"/>
        <v>0</v>
      </c>
      <c r="K58" s="675"/>
      <c r="L58" s="675"/>
      <c r="M58" s="675">
        <f t="shared" si="18"/>
        <v>264615</v>
      </c>
    </row>
    <row r="59" spans="1:16">
      <c r="A59" s="673"/>
      <c r="B59" s="751" t="s">
        <v>415</v>
      </c>
      <c r="C59" s="668">
        <v>4</v>
      </c>
      <c r="D59" s="674">
        <v>3.01</v>
      </c>
      <c r="E59" s="675">
        <f t="shared" si="13"/>
        <v>6020000</v>
      </c>
      <c r="F59" s="675">
        <f t="shared" si="1"/>
        <v>210000</v>
      </c>
      <c r="G59" s="675">
        <f t="shared" si="14"/>
        <v>722400</v>
      </c>
      <c r="H59" s="675">
        <f t="shared" si="15"/>
        <v>240800</v>
      </c>
      <c r="I59" s="675">
        <f t="shared" si="16"/>
        <v>0</v>
      </c>
      <c r="J59" s="675">
        <f t="shared" si="17"/>
        <v>0</v>
      </c>
      <c r="K59" s="675"/>
      <c r="L59" s="675"/>
      <c r="M59" s="752">
        <f t="shared" si="18"/>
        <v>276662</v>
      </c>
    </row>
    <row r="60" spans="1:16">
      <c r="A60" s="673"/>
      <c r="B60" s="673" t="s">
        <v>416</v>
      </c>
      <c r="C60" s="668">
        <v>4.2</v>
      </c>
      <c r="D60" s="674">
        <v>3.1159999999999997</v>
      </c>
      <c r="E60" s="675">
        <f t="shared" si="13"/>
        <v>6231999.9999999991</v>
      </c>
      <c r="F60" s="675">
        <f t="shared" si="1"/>
        <v>210000</v>
      </c>
      <c r="G60" s="675">
        <f t="shared" si="14"/>
        <v>747839.99999999988</v>
      </c>
      <c r="H60" s="675">
        <f t="shared" si="15"/>
        <v>249279.99999999997</v>
      </c>
      <c r="I60" s="675">
        <f t="shared" si="16"/>
        <v>0</v>
      </c>
      <c r="J60" s="675">
        <f t="shared" si="17"/>
        <v>0</v>
      </c>
      <c r="K60" s="675"/>
      <c r="L60" s="675"/>
      <c r="M60" s="675">
        <f t="shared" si="18"/>
        <v>286120</v>
      </c>
    </row>
    <row r="61" spans="1:16">
      <c r="A61" s="673"/>
      <c r="B61" s="673" t="s">
        <v>417</v>
      </c>
      <c r="C61" s="668">
        <v>4.3</v>
      </c>
      <c r="D61" s="674">
        <v>3.169</v>
      </c>
      <c r="E61" s="675">
        <f t="shared" si="13"/>
        <v>6338000</v>
      </c>
      <c r="F61" s="675">
        <f t="shared" si="1"/>
        <v>210000</v>
      </c>
      <c r="G61" s="675">
        <f t="shared" si="14"/>
        <v>760560</v>
      </c>
      <c r="H61" s="675">
        <f t="shared" si="15"/>
        <v>253520</v>
      </c>
      <c r="I61" s="675">
        <f t="shared" si="16"/>
        <v>0</v>
      </c>
      <c r="J61" s="675">
        <f t="shared" si="17"/>
        <v>0</v>
      </c>
      <c r="K61" s="675"/>
      <c r="L61" s="675"/>
      <c r="M61" s="675">
        <f t="shared" si="18"/>
        <v>290849</v>
      </c>
    </row>
    <row r="62" spans="1:16">
      <c r="A62" s="673"/>
      <c r="B62" s="751" t="s">
        <v>418</v>
      </c>
      <c r="C62" s="668">
        <v>4.5</v>
      </c>
      <c r="D62" s="674">
        <v>3.2749999999999999</v>
      </c>
      <c r="E62" s="675">
        <f t="shared" si="13"/>
        <v>6550000</v>
      </c>
      <c r="F62" s="675">
        <f t="shared" si="1"/>
        <v>210000</v>
      </c>
      <c r="G62" s="675">
        <f t="shared" si="14"/>
        <v>786000</v>
      </c>
      <c r="H62" s="675">
        <f t="shared" si="15"/>
        <v>262000</v>
      </c>
      <c r="I62" s="675">
        <f t="shared" si="16"/>
        <v>0</v>
      </c>
      <c r="J62" s="675">
        <f t="shared" si="17"/>
        <v>0</v>
      </c>
      <c r="K62" s="675"/>
      <c r="L62" s="675"/>
      <c r="M62" s="752">
        <f t="shared" si="18"/>
        <v>300308</v>
      </c>
    </row>
    <row r="63" spans="1:16">
      <c r="A63" s="673"/>
      <c r="B63" s="673" t="s">
        <v>419</v>
      </c>
      <c r="C63" s="668">
        <v>4.7</v>
      </c>
      <c r="D63" s="674">
        <v>3.3809999999999998</v>
      </c>
      <c r="E63" s="675">
        <f t="shared" si="13"/>
        <v>6762000</v>
      </c>
      <c r="F63" s="675">
        <f t="shared" si="1"/>
        <v>210000</v>
      </c>
      <c r="G63" s="675">
        <f t="shared" si="14"/>
        <v>811440</v>
      </c>
      <c r="H63" s="675">
        <f t="shared" si="15"/>
        <v>270480</v>
      </c>
      <c r="I63" s="675">
        <f t="shared" si="16"/>
        <v>0</v>
      </c>
      <c r="J63" s="675">
        <f t="shared" si="17"/>
        <v>0</v>
      </c>
      <c r="K63" s="675"/>
      <c r="L63" s="675"/>
      <c r="M63" s="675">
        <f t="shared" si="18"/>
        <v>309766</v>
      </c>
    </row>
    <row r="64" spans="1:16">
      <c r="A64" s="673"/>
      <c r="B64" s="751" t="s">
        <v>420</v>
      </c>
      <c r="C64" s="668">
        <v>5</v>
      </c>
      <c r="D64" s="674">
        <v>3.54</v>
      </c>
      <c r="E64" s="675">
        <f t="shared" si="13"/>
        <v>7080000</v>
      </c>
      <c r="F64" s="675">
        <f t="shared" si="1"/>
        <v>210000</v>
      </c>
      <c r="G64" s="675">
        <f t="shared" si="14"/>
        <v>849600</v>
      </c>
      <c r="H64" s="675">
        <f t="shared" si="15"/>
        <v>283200</v>
      </c>
      <c r="I64" s="675">
        <f t="shared" si="16"/>
        <v>0</v>
      </c>
      <c r="J64" s="675">
        <f t="shared" si="17"/>
        <v>0</v>
      </c>
      <c r="K64" s="675"/>
      <c r="L64" s="675"/>
      <c r="M64" s="752">
        <f t="shared" si="18"/>
        <v>323954</v>
      </c>
    </row>
    <row r="65" spans="1:13">
      <c r="A65" s="673"/>
      <c r="B65" s="673" t="s">
        <v>421</v>
      </c>
      <c r="C65" s="668">
        <v>5.2</v>
      </c>
      <c r="D65" s="674">
        <v>3.6659999999999999</v>
      </c>
      <c r="E65" s="675">
        <f t="shared" si="13"/>
        <v>7332000</v>
      </c>
      <c r="F65" s="675">
        <f t="shared" si="1"/>
        <v>210000</v>
      </c>
      <c r="G65" s="675">
        <f t="shared" si="14"/>
        <v>879840</v>
      </c>
      <c r="H65" s="675">
        <f t="shared" si="15"/>
        <v>293280</v>
      </c>
      <c r="I65" s="675">
        <f t="shared" si="16"/>
        <v>0</v>
      </c>
      <c r="J65" s="675">
        <f t="shared" si="17"/>
        <v>0</v>
      </c>
      <c r="K65" s="675"/>
      <c r="L65" s="675"/>
      <c r="M65" s="675">
        <f t="shared" si="18"/>
        <v>335197</v>
      </c>
    </row>
    <row r="66" spans="1:13">
      <c r="A66" s="673"/>
      <c r="B66" s="673" t="s">
        <v>422</v>
      </c>
      <c r="C66" s="668">
        <v>5.5</v>
      </c>
      <c r="D66" s="674">
        <v>3.855</v>
      </c>
      <c r="E66" s="675">
        <f t="shared" si="13"/>
        <v>7710000</v>
      </c>
      <c r="F66" s="675">
        <f t="shared" si="1"/>
        <v>210000</v>
      </c>
      <c r="G66" s="675">
        <f t="shared" si="14"/>
        <v>925200</v>
      </c>
      <c r="H66" s="675">
        <f t="shared" si="15"/>
        <v>308400</v>
      </c>
      <c r="I66" s="675">
        <f t="shared" si="16"/>
        <v>0</v>
      </c>
      <c r="J66" s="675">
        <f t="shared" si="17"/>
        <v>0</v>
      </c>
      <c r="K66" s="675"/>
      <c r="L66" s="675"/>
      <c r="M66" s="675">
        <f t="shared" si="18"/>
        <v>352062</v>
      </c>
    </row>
    <row r="67" spans="1:13">
      <c r="A67" s="673"/>
      <c r="B67" s="751" t="s">
        <v>423</v>
      </c>
      <c r="C67" s="668">
        <v>6</v>
      </c>
      <c r="D67" s="674">
        <v>4.17</v>
      </c>
      <c r="E67" s="675">
        <f t="shared" si="13"/>
        <v>8340000</v>
      </c>
      <c r="F67" s="675">
        <f t="shared" si="1"/>
        <v>210000</v>
      </c>
      <c r="G67" s="675">
        <f t="shared" si="14"/>
        <v>1000800</v>
      </c>
      <c r="H67" s="675">
        <f t="shared" si="15"/>
        <v>333600</v>
      </c>
      <c r="I67" s="675">
        <f t="shared" si="16"/>
        <v>0</v>
      </c>
      <c r="J67" s="675">
        <f t="shared" si="17"/>
        <v>0</v>
      </c>
      <c r="K67" s="675"/>
      <c r="L67" s="675"/>
      <c r="M67" s="752">
        <f t="shared" si="18"/>
        <v>380169</v>
      </c>
    </row>
    <row r="68" spans="1:13">
      <c r="A68" s="673"/>
      <c r="B68" s="751" t="s">
        <v>424</v>
      </c>
      <c r="C68" s="668">
        <v>7</v>
      </c>
      <c r="D68" s="674">
        <v>4.9000000000000004</v>
      </c>
      <c r="E68" s="675">
        <f t="shared" si="13"/>
        <v>9800000</v>
      </c>
      <c r="F68" s="675">
        <f t="shared" si="1"/>
        <v>210000</v>
      </c>
      <c r="G68" s="675">
        <f t="shared" si="14"/>
        <v>1176000</v>
      </c>
      <c r="H68" s="675">
        <f t="shared" si="15"/>
        <v>392000</v>
      </c>
      <c r="I68" s="675">
        <f t="shared" si="16"/>
        <v>0</v>
      </c>
      <c r="J68" s="675">
        <f t="shared" si="17"/>
        <v>0</v>
      </c>
      <c r="K68" s="675"/>
      <c r="L68" s="675"/>
      <c r="M68" s="752">
        <f t="shared" si="18"/>
        <v>445308</v>
      </c>
    </row>
    <row r="69" spans="1:13" ht="14.1" customHeight="1">
      <c r="A69" s="663" t="s">
        <v>818</v>
      </c>
      <c r="B69" s="663"/>
      <c r="C69" s="664"/>
      <c r="D69" s="665"/>
      <c r="E69" s="666"/>
      <c r="F69" s="666"/>
      <c r="G69" s="666"/>
      <c r="H69" s="666"/>
      <c r="I69" s="666"/>
      <c r="J69" s="666"/>
      <c r="K69" s="666"/>
      <c r="L69" s="666"/>
      <c r="M69" s="666"/>
    </row>
    <row r="70" spans="1:13" ht="26.25" customHeight="1">
      <c r="A70" s="667" t="s">
        <v>372</v>
      </c>
      <c r="B70" s="667"/>
      <c r="C70" s="668"/>
      <c r="D70" s="669"/>
      <c r="E70" s="670"/>
      <c r="F70" s="671"/>
      <c r="G70" s="671"/>
      <c r="H70" s="671"/>
      <c r="I70" s="671"/>
      <c r="J70" s="671"/>
      <c r="K70" s="671"/>
      <c r="L70" s="671"/>
      <c r="M70" s="672"/>
    </row>
    <row r="71" spans="1:13">
      <c r="A71" s="673"/>
      <c r="B71" s="673" t="s">
        <v>794</v>
      </c>
      <c r="C71" s="668">
        <v>3</v>
      </c>
      <c r="D71" s="674">
        <v>2.16</v>
      </c>
      <c r="E71" s="675">
        <f t="shared" ref="E71:E78" si="19">D71*LTTV</f>
        <v>4320000</v>
      </c>
      <c r="F71" s="675">
        <f t="shared" ref="F71:F87" si="20">$F$10</f>
        <v>210000</v>
      </c>
      <c r="G71" s="675">
        <f t="shared" ref="G71:G78" si="21">E71*luongphu</f>
        <v>518400</v>
      </c>
      <c r="H71" s="675">
        <f t="shared" ref="H71:H78" si="22">E71*khoantructiep</f>
        <v>172800</v>
      </c>
      <c r="I71" s="675">
        <f t="shared" ref="I71:I78" si="23">E71*KhongOndinhSX</f>
        <v>0</v>
      </c>
      <c r="J71" s="675">
        <f t="shared" ref="J71:J78" si="24">E71*thuhut</f>
        <v>0</v>
      </c>
      <c r="K71" s="675"/>
      <c r="L71" s="675"/>
      <c r="M71" s="675">
        <f t="shared" ref="M71:M78" si="25">ROUND(SUM(E71:L71)/26,0)</f>
        <v>200815</v>
      </c>
    </row>
    <row r="72" spans="1:13">
      <c r="A72" s="673"/>
      <c r="B72" s="673" t="s">
        <v>795</v>
      </c>
      <c r="C72" s="668">
        <v>3.5</v>
      </c>
      <c r="D72" s="674">
        <v>2.355</v>
      </c>
      <c r="E72" s="675">
        <f t="shared" si="19"/>
        <v>4710000</v>
      </c>
      <c r="F72" s="675">
        <f t="shared" si="20"/>
        <v>210000</v>
      </c>
      <c r="G72" s="675">
        <f t="shared" si="21"/>
        <v>565200</v>
      </c>
      <c r="H72" s="675">
        <f t="shared" si="22"/>
        <v>188400</v>
      </c>
      <c r="I72" s="675">
        <f t="shared" si="23"/>
        <v>0</v>
      </c>
      <c r="J72" s="675">
        <f t="shared" si="24"/>
        <v>0</v>
      </c>
      <c r="K72" s="675"/>
      <c r="L72" s="675"/>
      <c r="M72" s="675">
        <f t="shared" si="25"/>
        <v>218215</v>
      </c>
    </row>
    <row r="73" spans="1:13">
      <c r="A73" s="673"/>
      <c r="B73" s="673" t="s">
        <v>796</v>
      </c>
      <c r="C73" s="668">
        <v>4</v>
      </c>
      <c r="D73" s="674">
        <v>2.5499999999999998</v>
      </c>
      <c r="E73" s="675">
        <f t="shared" si="19"/>
        <v>5100000</v>
      </c>
      <c r="F73" s="675">
        <f t="shared" si="20"/>
        <v>210000</v>
      </c>
      <c r="G73" s="675">
        <f t="shared" si="21"/>
        <v>612000</v>
      </c>
      <c r="H73" s="675">
        <f t="shared" si="22"/>
        <v>204000</v>
      </c>
      <c r="I73" s="675">
        <f t="shared" si="23"/>
        <v>0</v>
      </c>
      <c r="J73" s="675">
        <f t="shared" si="24"/>
        <v>0</v>
      </c>
      <c r="K73" s="675"/>
      <c r="L73" s="675"/>
      <c r="M73" s="675">
        <f t="shared" si="25"/>
        <v>235615</v>
      </c>
    </row>
    <row r="74" spans="1:13">
      <c r="A74" s="673"/>
      <c r="B74" s="673" t="s">
        <v>797</v>
      </c>
      <c r="C74" s="668">
        <v>4.5</v>
      </c>
      <c r="D74" s="674">
        <v>2.78</v>
      </c>
      <c r="E74" s="675">
        <f t="shared" si="19"/>
        <v>5560000</v>
      </c>
      <c r="F74" s="675">
        <f t="shared" si="20"/>
        <v>210000</v>
      </c>
      <c r="G74" s="675">
        <f t="shared" si="21"/>
        <v>667200</v>
      </c>
      <c r="H74" s="675">
        <f t="shared" si="22"/>
        <v>222400</v>
      </c>
      <c r="I74" s="675">
        <f t="shared" si="23"/>
        <v>0</v>
      </c>
      <c r="J74" s="675">
        <f t="shared" si="24"/>
        <v>0</v>
      </c>
      <c r="K74" s="675"/>
      <c r="L74" s="675"/>
      <c r="M74" s="675">
        <f t="shared" si="25"/>
        <v>256138</v>
      </c>
    </row>
    <row r="75" spans="1:13">
      <c r="A75" s="673"/>
      <c r="B75" s="673" t="s">
        <v>798</v>
      </c>
      <c r="C75" s="668">
        <v>5</v>
      </c>
      <c r="D75" s="674">
        <v>3.01</v>
      </c>
      <c r="E75" s="675">
        <f t="shared" si="19"/>
        <v>6020000</v>
      </c>
      <c r="F75" s="675">
        <f t="shared" si="20"/>
        <v>210000</v>
      </c>
      <c r="G75" s="675">
        <f t="shared" si="21"/>
        <v>722400</v>
      </c>
      <c r="H75" s="675">
        <f t="shared" si="22"/>
        <v>240800</v>
      </c>
      <c r="I75" s="675">
        <f t="shared" si="23"/>
        <v>0</v>
      </c>
      <c r="J75" s="675">
        <f t="shared" si="24"/>
        <v>0</v>
      </c>
      <c r="K75" s="675"/>
      <c r="L75" s="675"/>
      <c r="M75" s="675">
        <f t="shared" si="25"/>
        <v>276662</v>
      </c>
    </row>
    <row r="76" spans="1:13">
      <c r="A76" s="673"/>
      <c r="B76" s="673" t="s">
        <v>799</v>
      </c>
      <c r="C76" s="668">
        <v>5.5</v>
      </c>
      <c r="D76" s="674">
        <v>3.2850000000000001</v>
      </c>
      <c r="E76" s="675">
        <f t="shared" si="19"/>
        <v>6570000</v>
      </c>
      <c r="F76" s="675">
        <f t="shared" si="20"/>
        <v>210000</v>
      </c>
      <c r="G76" s="675">
        <f t="shared" si="21"/>
        <v>788400</v>
      </c>
      <c r="H76" s="675">
        <f t="shared" si="22"/>
        <v>262800</v>
      </c>
      <c r="I76" s="675">
        <f t="shared" si="23"/>
        <v>0</v>
      </c>
      <c r="J76" s="675">
        <f t="shared" si="24"/>
        <v>0</v>
      </c>
      <c r="K76" s="675"/>
      <c r="L76" s="675"/>
      <c r="M76" s="675">
        <f t="shared" si="25"/>
        <v>301200</v>
      </c>
    </row>
    <row r="77" spans="1:13">
      <c r="A77" s="673"/>
      <c r="B77" s="673" t="s">
        <v>800</v>
      </c>
      <c r="C77" s="668">
        <v>6</v>
      </c>
      <c r="D77" s="674">
        <v>3.56</v>
      </c>
      <c r="E77" s="675">
        <f t="shared" si="19"/>
        <v>7120000</v>
      </c>
      <c r="F77" s="675">
        <f t="shared" si="20"/>
        <v>210000</v>
      </c>
      <c r="G77" s="675">
        <f t="shared" si="21"/>
        <v>854400</v>
      </c>
      <c r="H77" s="675">
        <f t="shared" si="22"/>
        <v>284800</v>
      </c>
      <c r="I77" s="675">
        <f t="shared" si="23"/>
        <v>0</v>
      </c>
      <c r="J77" s="675">
        <f t="shared" si="24"/>
        <v>0</v>
      </c>
      <c r="K77" s="675"/>
      <c r="L77" s="675"/>
      <c r="M77" s="675">
        <f t="shared" si="25"/>
        <v>325738</v>
      </c>
    </row>
    <row r="78" spans="1:13">
      <c r="A78" s="673"/>
      <c r="B78" s="673" t="s">
        <v>801</v>
      </c>
      <c r="C78" s="668">
        <v>7</v>
      </c>
      <c r="D78" s="674">
        <v>4.2</v>
      </c>
      <c r="E78" s="675">
        <f t="shared" si="19"/>
        <v>8400000</v>
      </c>
      <c r="F78" s="675">
        <f t="shared" si="20"/>
        <v>210000</v>
      </c>
      <c r="G78" s="675">
        <f t="shared" si="21"/>
        <v>1008000</v>
      </c>
      <c r="H78" s="675">
        <f t="shared" si="22"/>
        <v>336000</v>
      </c>
      <c r="I78" s="675">
        <f t="shared" si="23"/>
        <v>0</v>
      </c>
      <c r="J78" s="675">
        <f t="shared" si="24"/>
        <v>0</v>
      </c>
      <c r="K78" s="675"/>
      <c r="L78" s="675"/>
      <c r="M78" s="675">
        <f t="shared" si="25"/>
        <v>382846</v>
      </c>
    </row>
    <row r="79" spans="1:13" ht="22.5" customHeight="1">
      <c r="A79" s="667" t="s">
        <v>390</v>
      </c>
      <c r="B79" s="667"/>
      <c r="C79" s="668"/>
      <c r="D79" s="674"/>
      <c r="E79" s="675"/>
      <c r="F79" s="675"/>
      <c r="G79" s="675"/>
      <c r="H79" s="675"/>
      <c r="I79" s="675"/>
      <c r="J79" s="675"/>
      <c r="K79" s="675"/>
      <c r="L79" s="675"/>
      <c r="M79" s="675"/>
    </row>
    <row r="80" spans="1:13">
      <c r="A80" s="673"/>
      <c r="B80" s="673" t="s">
        <v>802</v>
      </c>
      <c r="C80" s="668">
        <v>3</v>
      </c>
      <c r="D80" s="674">
        <v>2.31</v>
      </c>
      <c r="E80" s="675">
        <f t="shared" ref="E80:E87" si="26">D80*LTTV</f>
        <v>4620000</v>
      </c>
      <c r="F80" s="675">
        <f t="shared" si="20"/>
        <v>210000</v>
      </c>
      <c r="G80" s="675">
        <f t="shared" ref="G80:G87" si="27">E80*luongphu</f>
        <v>554400</v>
      </c>
      <c r="H80" s="675">
        <f t="shared" ref="H80:H87" si="28">E80*khoantructiep</f>
        <v>184800</v>
      </c>
      <c r="I80" s="675">
        <f t="shared" ref="I80:I87" si="29">E80*KhongOndinhSX</f>
        <v>0</v>
      </c>
      <c r="J80" s="675">
        <f t="shared" ref="J80:J87" si="30">E80*thuhut</f>
        <v>0</v>
      </c>
      <c r="K80" s="675"/>
      <c r="L80" s="675"/>
      <c r="M80" s="675">
        <f t="shared" ref="M80:M87" si="31">ROUND(SUM(E80:L80)/26,0)</f>
        <v>214200</v>
      </c>
    </row>
    <row r="81" spans="1:14">
      <c r="A81" s="673"/>
      <c r="B81" s="673" t="s">
        <v>803</v>
      </c>
      <c r="C81" s="668">
        <v>3.5</v>
      </c>
      <c r="D81" s="674">
        <v>2.5099999999999998</v>
      </c>
      <c r="E81" s="675">
        <f t="shared" si="26"/>
        <v>5020000</v>
      </c>
      <c r="F81" s="675">
        <f t="shared" si="20"/>
        <v>210000</v>
      </c>
      <c r="G81" s="675">
        <f t="shared" si="27"/>
        <v>602400</v>
      </c>
      <c r="H81" s="675">
        <f t="shared" si="28"/>
        <v>200800</v>
      </c>
      <c r="I81" s="675">
        <f t="shared" si="29"/>
        <v>0</v>
      </c>
      <c r="J81" s="675">
        <f t="shared" si="30"/>
        <v>0</v>
      </c>
      <c r="K81" s="675"/>
      <c r="L81" s="675"/>
      <c r="M81" s="675">
        <f t="shared" si="31"/>
        <v>232046</v>
      </c>
    </row>
    <row r="82" spans="1:14">
      <c r="A82" s="673"/>
      <c r="B82" s="673" t="s">
        <v>804</v>
      </c>
      <c r="C82" s="668">
        <v>4</v>
      </c>
      <c r="D82" s="674">
        <v>2.71</v>
      </c>
      <c r="E82" s="675">
        <f t="shared" si="26"/>
        <v>5420000</v>
      </c>
      <c r="F82" s="675">
        <f t="shared" si="20"/>
        <v>210000</v>
      </c>
      <c r="G82" s="675">
        <f t="shared" si="27"/>
        <v>650400</v>
      </c>
      <c r="H82" s="675">
        <f t="shared" si="28"/>
        <v>216800</v>
      </c>
      <c r="I82" s="675">
        <f t="shared" si="29"/>
        <v>0</v>
      </c>
      <c r="J82" s="675">
        <f t="shared" si="30"/>
        <v>0</v>
      </c>
      <c r="K82" s="675"/>
      <c r="L82" s="675"/>
      <c r="M82" s="675">
        <f t="shared" si="31"/>
        <v>249892</v>
      </c>
    </row>
    <row r="83" spans="1:14">
      <c r="A83" s="673"/>
      <c r="B83" s="673" t="s">
        <v>805</v>
      </c>
      <c r="C83" s="668">
        <v>4.5</v>
      </c>
      <c r="D83" s="674">
        <v>2.95</v>
      </c>
      <c r="E83" s="675">
        <f t="shared" si="26"/>
        <v>5900000</v>
      </c>
      <c r="F83" s="675">
        <f t="shared" si="20"/>
        <v>210000</v>
      </c>
      <c r="G83" s="675">
        <f t="shared" si="27"/>
        <v>708000</v>
      </c>
      <c r="H83" s="675">
        <f t="shared" si="28"/>
        <v>236000</v>
      </c>
      <c r="I83" s="675">
        <f t="shared" si="29"/>
        <v>0</v>
      </c>
      <c r="J83" s="675">
        <f t="shared" si="30"/>
        <v>0</v>
      </c>
      <c r="K83" s="675"/>
      <c r="L83" s="675"/>
      <c r="M83" s="675">
        <f t="shared" si="31"/>
        <v>271308</v>
      </c>
    </row>
    <row r="84" spans="1:14">
      <c r="A84" s="673"/>
      <c r="B84" s="673" t="s">
        <v>806</v>
      </c>
      <c r="C84" s="668">
        <v>5</v>
      </c>
      <c r="D84" s="674">
        <v>3.19</v>
      </c>
      <c r="E84" s="675">
        <f t="shared" si="26"/>
        <v>6380000</v>
      </c>
      <c r="F84" s="675">
        <f t="shared" si="20"/>
        <v>210000</v>
      </c>
      <c r="G84" s="675">
        <f t="shared" si="27"/>
        <v>765600</v>
      </c>
      <c r="H84" s="675">
        <f t="shared" si="28"/>
        <v>255200</v>
      </c>
      <c r="I84" s="675">
        <f t="shared" si="29"/>
        <v>0</v>
      </c>
      <c r="J84" s="675">
        <f t="shared" si="30"/>
        <v>0</v>
      </c>
      <c r="K84" s="675"/>
      <c r="L84" s="675"/>
      <c r="M84" s="675">
        <f t="shared" si="31"/>
        <v>292723</v>
      </c>
    </row>
    <row r="85" spans="1:14">
      <c r="A85" s="673"/>
      <c r="B85" s="673" t="s">
        <v>807</v>
      </c>
      <c r="C85" s="668">
        <v>5.5</v>
      </c>
      <c r="D85" s="674">
        <v>3.4649999999999999</v>
      </c>
      <c r="E85" s="675">
        <f t="shared" si="26"/>
        <v>6930000</v>
      </c>
      <c r="F85" s="675">
        <f t="shared" si="20"/>
        <v>210000</v>
      </c>
      <c r="G85" s="675">
        <f t="shared" si="27"/>
        <v>831600</v>
      </c>
      <c r="H85" s="675">
        <f t="shared" si="28"/>
        <v>277200</v>
      </c>
      <c r="I85" s="675">
        <f t="shared" si="29"/>
        <v>0</v>
      </c>
      <c r="J85" s="675">
        <f t="shared" si="30"/>
        <v>0</v>
      </c>
      <c r="K85" s="675"/>
      <c r="L85" s="675"/>
      <c r="M85" s="675">
        <f t="shared" si="31"/>
        <v>317262</v>
      </c>
    </row>
    <row r="86" spans="1:14">
      <c r="A86" s="673"/>
      <c r="B86" s="673" t="s">
        <v>808</v>
      </c>
      <c r="C86" s="668">
        <v>6</v>
      </c>
      <c r="D86" s="674">
        <v>3.74</v>
      </c>
      <c r="E86" s="675">
        <f t="shared" si="26"/>
        <v>7480000</v>
      </c>
      <c r="F86" s="675">
        <f t="shared" si="20"/>
        <v>210000</v>
      </c>
      <c r="G86" s="675">
        <f t="shared" si="27"/>
        <v>897600</v>
      </c>
      <c r="H86" s="675">
        <f t="shared" si="28"/>
        <v>299200</v>
      </c>
      <c r="I86" s="675">
        <f t="shared" si="29"/>
        <v>0</v>
      </c>
      <c r="J86" s="675">
        <f t="shared" si="30"/>
        <v>0</v>
      </c>
      <c r="K86" s="675"/>
      <c r="L86" s="675"/>
      <c r="M86" s="675">
        <f t="shared" si="31"/>
        <v>341800</v>
      </c>
    </row>
    <row r="87" spans="1:14">
      <c r="A87" s="673"/>
      <c r="B87" s="673" t="s">
        <v>809</v>
      </c>
      <c r="C87" s="668">
        <v>7</v>
      </c>
      <c r="D87" s="674">
        <v>4.4000000000000004</v>
      </c>
      <c r="E87" s="675">
        <f t="shared" si="26"/>
        <v>8800000</v>
      </c>
      <c r="F87" s="675">
        <f t="shared" si="20"/>
        <v>210000</v>
      </c>
      <c r="G87" s="675">
        <f t="shared" si="27"/>
        <v>1056000</v>
      </c>
      <c r="H87" s="675">
        <f t="shared" si="28"/>
        <v>352000</v>
      </c>
      <c r="I87" s="675">
        <f t="shared" si="29"/>
        <v>0</v>
      </c>
      <c r="J87" s="675">
        <f t="shared" si="30"/>
        <v>0</v>
      </c>
      <c r="K87" s="675"/>
      <c r="L87" s="675"/>
      <c r="M87" s="675">
        <f t="shared" si="31"/>
        <v>400692</v>
      </c>
    </row>
    <row r="88" spans="1:14" ht="24" customHeight="1">
      <c r="A88" s="667" t="s">
        <v>407</v>
      </c>
      <c r="B88" s="667"/>
      <c r="C88" s="668"/>
      <c r="D88" s="674"/>
      <c r="E88" s="675"/>
      <c r="F88" s="675"/>
      <c r="G88" s="675"/>
      <c r="H88" s="675"/>
      <c r="I88" s="675"/>
      <c r="J88" s="675"/>
      <c r="K88" s="675"/>
      <c r="L88" s="675"/>
      <c r="M88" s="675"/>
    </row>
    <row r="89" spans="1:14">
      <c r="A89" s="673"/>
      <c r="B89" s="673" t="s">
        <v>810</v>
      </c>
      <c r="C89" s="668">
        <v>3</v>
      </c>
      <c r="D89" s="674">
        <v>2.48</v>
      </c>
      <c r="E89" s="675">
        <f t="shared" ref="E89:E96" si="32">D89*LTTV</f>
        <v>4960000</v>
      </c>
      <c r="F89" s="675">
        <f t="shared" ref="F89:F96" si="33">$F$10</f>
        <v>210000</v>
      </c>
      <c r="G89" s="675">
        <f t="shared" ref="G89:G96" si="34">E89*luongphu</f>
        <v>595200</v>
      </c>
      <c r="H89" s="675">
        <f t="shared" ref="H89:H96" si="35">E89*khoantructiep</f>
        <v>198400</v>
      </c>
      <c r="I89" s="675">
        <f t="shared" ref="I89:I96" si="36">E89*KhongOndinhSX</f>
        <v>0</v>
      </c>
      <c r="J89" s="675">
        <f t="shared" ref="J89:J96" si="37">E89*thuhut</f>
        <v>0</v>
      </c>
      <c r="K89" s="675"/>
      <c r="L89" s="675"/>
      <c r="M89" s="675">
        <f t="shared" ref="M89:M96" si="38">ROUND(SUM(E89:L89)/26,0)</f>
        <v>229369</v>
      </c>
    </row>
    <row r="90" spans="1:14">
      <c r="A90" s="673"/>
      <c r="B90" s="673" t="s">
        <v>811</v>
      </c>
      <c r="C90" s="668">
        <v>3.5</v>
      </c>
      <c r="D90" s="674">
        <v>2.7</v>
      </c>
      <c r="E90" s="675">
        <f t="shared" si="32"/>
        <v>5400000</v>
      </c>
      <c r="F90" s="675">
        <f t="shared" si="33"/>
        <v>210000</v>
      </c>
      <c r="G90" s="675">
        <f t="shared" si="34"/>
        <v>648000</v>
      </c>
      <c r="H90" s="675">
        <f t="shared" si="35"/>
        <v>216000</v>
      </c>
      <c r="I90" s="675">
        <f t="shared" si="36"/>
        <v>0</v>
      </c>
      <c r="J90" s="675">
        <f t="shared" si="37"/>
        <v>0</v>
      </c>
      <c r="K90" s="675"/>
      <c r="L90" s="675"/>
      <c r="M90" s="675">
        <f t="shared" si="38"/>
        <v>249000</v>
      </c>
    </row>
    <row r="91" spans="1:14">
      <c r="A91" s="673"/>
      <c r="B91" s="673" t="s">
        <v>812</v>
      </c>
      <c r="C91" s="668">
        <v>4</v>
      </c>
      <c r="D91" s="674">
        <v>2.92</v>
      </c>
      <c r="E91" s="675">
        <f t="shared" si="32"/>
        <v>5840000</v>
      </c>
      <c r="F91" s="675">
        <f t="shared" si="33"/>
        <v>210000</v>
      </c>
      <c r="G91" s="675">
        <f t="shared" si="34"/>
        <v>700800</v>
      </c>
      <c r="H91" s="675">
        <f t="shared" si="35"/>
        <v>233600</v>
      </c>
      <c r="I91" s="675">
        <f t="shared" si="36"/>
        <v>0</v>
      </c>
      <c r="J91" s="675">
        <f t="shared" si="37"/>
        <v>0</v>
      </c>
      <c r="K91" s="675"/>
      <c r="L91" s="675"/>
      <c r="M91" s="675">
        <f t="shared" si="38"/>
        <v>268631</v>
      </c>
    </row>
    <row r="92" spans="1:14">
      <c r="A92" s="673"/>
      <c r="B92" s="673" t="s">
        <v>813</v>
      </c>
      <c r="C92" s="668">
        <v>4.5</v>
      </c>
      <c r="D92" s="674">
        <v>3.1850000000000001</v>
      </c>
      <c r="E92" s="675">
        <f t="shared" si="32"/>
        <v>6370000</v>
      </c>
      <c r="F92" s="675">
        <f t="shared" si="33"/>
        <v>210000</v>
      </c>
      <c r="G92" s="675">
        <f t="shared" si="34"/>
        <v>764400</v>
      </c>
      <c r="H92" s="675">
        <f t="shared" si="35"/>
        <v>254800</v>
      </c>
      <c r="I92" s="675">
        <f t="shared" si="36"/>
        <v>0</v>
      </c>
      <c r="J92" s="675">
        <f t="shared" si="37"/>
        <v>0</v>
      </c>
      <c r="K92" s="675"/>
      <c r="L92" s="675"/>
      <c r="M92" s="675">
        <f t="shared" si="38"/>
        <v>292277</v>
      </c>
      <c r="N92" s="750"/>
    </row>
    <row r="93" spans="1:14">
      <c r="A93" s="673"/>
      <c r="B93" s="673" t="s">
        <v>814</v>
      </c>
      <c r="C93" s="668">
        <v>5</v>
      </c>
      <c r="D93" s="674">
        <v>3.45</v>
      </c>
      <c r="E93" s="675">
        <f t="shared" si="32"/>
        <v>6900000</v>
      </c>
      <c r="F93" s="675">
        <f t="shared" si="33"/>
        <v>210000</v>
      </c>
      <c r="G93" s="675">
        <f t="shared" si="34"/>
        <v>828000</v>
      </c>
      <c r="H93" s="675">
        <f t="shared" si="35"/>
        <v>276000</v>
      </c>
      <c r="I93" s="675">
        <f t="shared" si="36"/>
        <v>0</v>
      </c>
      <c r="J93" s="675">
        <f t="shared" si="37"/>
        <v>0</v>
      </c>
      <c r="K93" s="675"/>
      <c r="L93" s="675"/>
      <c r="M93" s="675">
        <f t="shared" si="38"/>
        <v>315923</v>
      </c>
    </row>
    <row r="94" spans="1:14">
      <c r="A94" s="673"/>
      <c r="B94" s="673" t="s">
        <v>815</v>
      </c>
      <c r="C94" s="668">
        <v>5.5</v>
      </c>
      <c r="D94" s="674">
        <v>3.7600000000000002</v>
      </c>
      <c r="E94" s="675">
        <f t="shared" si="32"/>
        <v>7520000</v>
      </c>
      <c r="F94" s="675">
        <f t="shared" si="33"/>
        <v>210000</v>
      </c>
      <c r="G94" s="675">
        <f t="shared" si="34"/>
        <v>902400</v>
      </c>
      <c r="H94" s="675">
        <f t="shared" si="35"/>
        <v>300800</v>
      </c>
      <c r="I94" s="675">
        <f t="shared" si="36"/>
        <v>0</v>
      </c>
      <c r="J94" s="675">
        <f t="shared" si="37"/>
        <v>0</v>
      </c>
      <c r="K94" s="675"/>
      <c r="L94" s="675"/>
      <c r="M94" s="675">
        <f t="shared" si="38"/>
        <v>343585</v>
      </c>
      <c r="N94" s="749"/>
    </row>
    <row r="95" spans="1:14">
      <c r="A95" s="673"/>
      <c r="B95" s="673" t="s">
        <v>816</v>
      </c>
      <c r="C95" s="668">
        <v>6</v>
      </c>
      <c r="D95" s="674">
        <v>4.07</v>
      </c>
      <c r="E95" s="675">
        <f t="shared" si="32"/>
        <v>8140000.0000000009</v>
      </c>
      <c r="F95" s="675">
        <f t="shared" si="33"/>
        <v>210000</v>
      </c>
      <c r="G95" s="675">
        <f t="shared" si="34"/>
        <v>976800.00000000012</v>
      </c>
      <c r="H95" s="675">
        <f t="shared" si="35"/>
        <v>325600.00000000006</v>
      </c>
      <c r="I95" s="675">
        <f t="shared" si="36"/>
        <v>0</v>
      </c>
      <c r="J95" s="675">
        <f t="shared" si="37"/>
        <v>0</v>
      </c>
      <c r="K95" s="675"/>
      <c r="L95" s="675"/>
      <c r="M95" s="675">
        <f t="shared" si="38"/>
        <v>371246</v>
      </c>
    </row>
    <row r="96" spans="1:14">
      <c r="A96" s="673"/>
      <c r="B96" s="673" t="s">
        <v>817</v>
      </c>
      <c r="C96" s="668">
        <v>7</v>
      </c>
      <c r="D96" s="674">
        <v>4.8</v>
      </c>
      <c r="E96" s="675">
        <f t="shared" si="32"/>
        <v>9600000</v>
      </c>
      <c r="F96" s="675">
        <f t="shared" si="33"/>
        <v>210000</v>
      </c>
      <c r="G96" s="675">
        <f t="shared" si="34"/>
        <v>1152000</v>
      </c>
      <c r="H96" s="675">
        <f t="shared" si="35"/>
        <v>384000</v>
      </c>
      <c r="I96" s="675">
        <f t="shared" si="36"/>
        <v>0</v>
      </c>
      <c r="J96" s="675">
        <f t="shared" si="37"/>
        <v>0</v>
      </c>
      <c r="K96" s="675"/>
      <c r="L96" s="675"/>
      <c r="M96" s="675">
        <f t="shared" si="38"/>
        <v>436385</v>
      </c>
    </row>
    <row r="97" spans="1:13">
      <c r="A97" s="663" t="s">
        <v>425</v>
      </c>
      <c r="B97" s="663"/>
      <c r="C97" s="664"/>
      <c r="D97" s="665"/>
      <c r="E97" s="666"/>
      <c r="F97" s="666"/>
      <c r="G97" s="666"/>
      <c r="H97" s="666"/>
      <c r="I97" s="666"/>
      <c r="J97" s="666"/>
      <c r="K97" s="666"/>
      <c r="L97" s="666"/>
      <c r="M97" s="666"/>
    </row>
    <row r="98" spans="1:13">
      <c r="A98" s="678" t="s">
        <v>426</v>
      </c>
      <c r="B98" s="678"/>
      <c r="C98" s="668"/>
      <c r="D98" s="679"/>
      <c r="E98" s="680"/>
      <c r="F98" s="681"/>
      <c r="G98" s="681"/>
      <c r="H98" s="681"/>
      <c r="I98" s="681"/>
      <c r="J98" s="681"/>
      <c r="K98" s="681"/>
      <c r="L98" s="681"/>
      <c r="M98" s="680"/>
    </row>
    <row r="99" spans="1:13">
      <c r="A99" s="682"/>
      <c r="B99" s="682"/>
      <c r="C99" s="683" t="s">
        <v>173</v>
      </c>
      <c r="D99" s="684">
        <v>2.99</v>
      </c>
      <c r="E99" s="675">
        <f>D99*LTTV</f>
        <v>5980000</v>
      </c>
      <c r="F99" s="675">
        <f>$F$10</f>
        <v>210000</v>
      </c>
      <c r="G99" s="675">
        <f>E99*luongphu</f>
        <v>717600</v>
      </c>
      <c r="H99" s="675">
        <f>E99*khoantructiep</f>
        <v>239200</v>
      </c>
      <c r="I99" s="675">
        <f>E99*KhongOndinhSX</f>
        <v>0</v>
      </c>
      <c r="J99" s="675">
        <f>E99*thuhut</f>
        <v>0</v>
      </c>
      <c r="K99" s="675"/>
      <c r="L99" s="675"/>
      <c r="M99" s="675">
        <f>ROUND(SUM(E99:L99)/26,0)</f>
        <v>274877</v>
      </c>
    </row>
    <row r="100" spans="1:13">
      <c r="A100" s="682"/>
      <c r="B100" s="682"/>
      <c r="C100" s="683" t="s">
        <v>177</v>
      </c>
      <c r="D100" s="684">
        <v>3.28</v>
      </c>
      <c r="E100" s="675">
        <f>D100*LTTV</f>
        <v>6560000</v>
      </c>
      <c r="F100" s="675">
        <f>$F$10</f>
        <v>210000</v>
      </c>
      <c r="G100" s="675">
        <f>E100*luongphu</f>
        <v>787200</v>
      </c>
      <c r="H100" s="675">
        <f>E100*khoantructiep</f>
        <v>262400</v>
      </c>
      <c r="I100" s="675">
        <f>E100*KhongOndinhSX</f>
        <v>0</v>
      </c>
      <c r="J100" s="675">
        <f>E100*thuhut</f>
        <v>0</v>
      </c>
      <c r="K100" s="675"/>
      <c r="L100" s="675"/>
      <c r="M100" s="675">
        <f>ROUND(SUM(E100:L100)/26,0)</f>
        <v>300754</v>
      </c>
    </row>
    <row r="101" spans="1:13">
      <c r="A101" s="682"/>
      <c r="B101" s="682"/>
      <c r="C101" s="683" t="s">
        <v>182</v>
      </c>
      <c r="D101" s="684">
        <v>3.72</v>
      </c>
      <c r="E101" s="675">
        <f>D101*LTTV</f>
        <v>7440000</v>
      </c>
      <c r="F101" s="675">
        <f>$F$10</f>
        <v>210000</v>
      </c>
      <c r="G101" s="675">
        <f>E101*luongphu</f>
        <v>892800</v>
      </c>
      <c r="H101" s="675">
        <f>E101*khoantructiep</f>
        <v>297600</v>
      </c>
      <c r="I101" s="675">
        <f>E101*KhongOndinhSX</f>
        <v>0</v>
      </c>
      <c r="J101" s="675">
        <f>E101*thuhut</f>
        <v>0</v>
      </c>
      <c r="K101" s="675"/>
      <c r="L101" s="675"/>
      <c r="M101" s="675">
        <f>ROUND(SUM(E101:L101)/26,0)</f>
        <v>340015</v>
      </c>
    </row>
    <row r="102" spans="1:13">
      <c r="A102" s="682"/>
      <c r="B102" s="682"/>
      <c r="C102" s="683" t="s">
        <v>194</v>
      </c>
      <c r="D102" s="684">
        <v>4.1500000000000004</v>
      </c>
      <c r="E102" s="675">
        <f>D102*LTTV</f>
        <v>8300000.0000000009</v>
      </c>
      <c r="F102" s="675">
        <f>$F$10</f>
        <v>210000</v>
      </c>
      <c r="G102" s="675">
        <f>E102*luongphu</f>
        <v>996000.00000000012</v>
      </c>
      <c r="H102" s="675">
        <f>E102*khoantructiep</f>
        <v>332000.00000000006</v>
      </c>
      <c r="I102" s="675">
        <f>E102*KhongOndinhSX</f>
        <v>0</v>
      </c>
      <c r="J102" s="675">
        <f>E102*thuhut</f>
        <v>0</v>
      </c>
      <c r="K102" s="675"/>
      <c r="L102" s="675"/>
      <c r="M102" s="675">
        <f>ROUND(SUM(E102:L102)/26,0)</f>
        <v>378385</v>
      </c>
    </row>
    <row r="103" spans="1:13">
      <c r="A103" s="678" t="s">
        <v>427</v>
      </c>
      <c r="B103" s="678"/>
      <c r="C103" s="668"/>
      <c r="D103" s="685"/>
      <c r="E103" s="686"/>
      <c r="F103" s="687"/>
      <c r="G103" s="686"/>
      <c r="H103" s="686"/>
      <c r="I103" s="686"/>
      <c r="J103" s="686"/>
      <c r="K103" s="686"/>
      <c r="L103" s="686"/>
      <c r="M103" s="686"/>
    </row>
    <row r="104" spans="1:13">
      <c r="A104" s="688" t="s">
        <v>35</v>
      </c>
      <c r="B104" s="688"/>
      <c r="C104" s="683" t="s">
        <v>173</v>
      </c>
      <c r="D104" s="684">
        <v>4.67</v>
      </c>
      <c r="E104" s="675">
        <f>D104*LTTV</f>
        <v>9340000</v>
      </c>
      <c r="F104" s="675">
        <f>$F$10</f>
        <v>210000</v>
      </c>
      <c r="G104" s="675">
        <f>E104*luongphu</f>
        <v>1120800</v>
      </c>
      <c r="H104" s="675">
        <f>E104*khoantructiep</f>
        <v>373600</v>
      </c>
      <c r="I104" s="675">
        <f>E104*KhongOndinhSX</f>
        <v>0</v>
      </c>
      <c r="J104" s="675">
        <f>E104*thuhut</f>
        <v>0</v>
      </c>
      <c r="K104" s="675"/>
      <c r="L104" s="675"/>
      <c r="M104" s="675">
        <f>ROUND(SUM(E104:L104)/26,0)</f>
        <v>424785</v>
      </c>
    </row>
    <row r="105" spans="1:13">
      <c r="A105" s="688" t="s">
        <v>428</v>
      </c>
      <c r="B105" s="688"/>
      <c r="C105" s="683" t="s">
        <v>177</v>
      </c>
      <c r="D105" s="684">
        <v>5.27</v>
      </c>
      <c r="E105" s="675">
        <f>D105*LTTV</f>
        <v>10540000</v>
      </c>
      <c r="F105" s="675">
        <f>$F$10</f>
        <v>210000</v>
      </c>
      <c r="G105" s="675">
        <f>E105*luongphu</f>
        <v>1264800</v>
      </c>
      <c r="H105" s="675">
        <f>E105*khoantructiep</f>
        <v>421600</v>
      </c>
      <c r="I105" s="675">
        <f>E105*KhongOndinhSX</f>
        <v>0</v>
      </c>
      <c r="J105" s="675">
        <f>E105*thuhut</f>
        <v>0</v>
      </c>
      <c r="K105" s="675"/>
      <c r="L105" s="675"/>
      <c r="M105" s="675">
        <f>ROUND(SUM(E105:L105)/26,0)</f>
        <v>478323</v>
      </c>
    </row>
    <row r="106" spans="1:13">
      <c r="A106" s="678" t="s">
        <v>429</v>
      </c>
      <c r="B106" s="678"/>
      <c r="C106" s="668"/>
      <c r="D106" s="685"/>
      <c r="E106" s="686"/>
      <c r="F106" s="687"/>
      <c r="G106" s="686"/>
      <c r="H106" s="686"/>
      <c r="I106" s="686"/>
      <c r="J106" s="686"/>
      <c r="K106" s="686"/>
      <c r="L106" s="686"/>
      <c r="M106" s="686"/>
    </row>
    <row r="107" spans="1:13">
      <c r="A107" s="688" t="s">
        <v>35</v>
      </c>
      <c r="B107" s="688"/>
      <c r="C107" s="689" t="s">
        <v>173</v>
      </c>
      <c r="D107" s="684">
        <v>5.75</v>
      </c>
      <c r="E107" s="675">
        <f>D107*LTTV</f>
        <v>11500000</v>
      </c>
      <c r="F107" s="675">
        <f>$F$10</f>
        <v>210000</v>
      </c>
      <c r="G107" s="675">
        <f>E107*luongphu</f>
        <v>1380000</v>
      </c>
      <c r="H107" s="675">
        <f>E107*khoantructiep</f>
        <v>460000</v>
      </c>
      <c r="I107" s="675">
        <f>E107*KhongOndinhSX</f>
        <v>0</v>
      </c>
      <c r="J107" s="675">
        <f>E107*thuhut</f>
        <v>0</v>
      </c>
      <c r="K107" s="675"/>
      <c r="L107" s="675"/>
      <c r="M107" s="675">
        <f>ROUND(SUM(E107:L107)/26,0)</f>
        <v>521154</v>
      </c>
    </row>
    <row r="108" spans="1:13">
      <c r="A108" s="663" t="s">
        <v>430</v>
      </c>
      <c r="B108" s="663"/>
      <c r="C108" s="664"/>
      <c r="D108" s="665"/>
      <c r="E108" s="666"/>
      <c r="F108" s="666"/>
      <c r="G108" s="666"/>
      <c r="H108" s="666"/>
      <c r="I108" s="666"/>
      <c r="J108" s="666"/>
      <c r="K108" s="666"/>
      <c r="L108" s="666"/>
      <c r="M108" s="666"/>
    </row>
    <row r="109" spans="1:13">
      <c r="A109" s="678" t="s">
        <v>431</v>
      </c>
      <c r="B109" s="678"/>
      <c r="C109" s="668"/>
      <c r="D109" s="690"/>
      <c r="E109" s="686"/>
      <c r="F109" s="686"/>
      <c r="G109" s="686"/>
      <c r="H109" s="686"/>
      <c r="I109" s="686"/>
      <c r="J109" s="686"/>
      <c r="K109" s="686"/>
      <c r="L109" s="686"/>
      <c r="M109" s="686"/>
    </row>
    <row r="110" spans="1:13">
      <c r="A110" s="691"/>
      <c r="B110" s="691"/>
      <c r="C110" s="683" t="s">
        <v>173</v>
      </c>
      <c r="D110" s="684">
        <v>2.1800000000000002</v>
      </c>
      <c r="E110" s="675">
        <f>D110*LTTV</f>
        <v>4360000</v>
      </c>
      <c r="F110" s="675">
        <f>$F$10</f>
        <v>210000</v>
      </c>
      <c r="G110" s="675">
        <f>E110*luongphu</f>
        <v>523200</v>
      </c>
      <c r="H110" s="675">
        <f>E110*khoantructiep</f>
        <v>174400</v>
      </c>
      <c r="I110" s="675">
        <f>E110*KhongOndinhSX</f>
        <v>0</v>
      </c>
      <c r="J110" s="675">
        <f>E110*thuhut</f>
        <v>0</v>
      </c>
      <c r="K110" s="675"/>
      <c r="L110" s="675"/>
      <c r="M110" s="675">
        <f>ROUND(SUM(E110:L110)/26,0)</f>
        <v>202600</v>
      </c>
    </row>
    <row r="111" spans="1:13">
      <c r="A111" s="691"/>
      <c r="B111" s="691"/>
      <c r="C111" s="683" t="s">
        <v>177</v>
      </c>
      <c r="D111" s="684">
        <v>2.57</v>
      </c>
      <c r="E111" s="675">
        <f>D111*LTTV</f>
        <v>5140000</v>
      </c>
      <c r="F111" s="675">
        <f>$F$10</f>
        <v>210000</v>
      </c>
      <c r="G111" s="675">
        <f>E111*luongphu</f>
        <v>616800</v>
      </c>
      <c r="H111" s="675">
        <f>E111*khoantructiep</f>
        <v>205600</v>
      </c>
      <c r="I111" s="675">
        <f>E111*KhongOndinhSX</f>
        <v>0</v>
      </c>
      <c r="J111" s="675">
        <f>E111*thuhut</f>
        <v>0</v>
      </c>
      <c r="K111" s="675"/>
      <c r="L111" s="675"/>
      <c r="M111" s="675">
        <f>ROUND(SUM(E111:L111)/26,0)</f>
        <v>237400</v>
      </c>
    </row>
    <row r="112" spans="1:13">
      <c r="A112" s="691"/>
      <c r="B112" s="691"/>
      <c r="C112" s="683" t="s">
        <v>182</v>
      </c>
      <c r="D112" s="684">
        <v>3.05</v>
      </c>
      <c r="E112" s="675">
        <f>D112*LTTV</f>
        <v>6100000</v>
      </c>
      <c r="F112" s="675">
        <f>$F$10</f>
        <v>210000</v>
      </c>
      <c r="G112" s="675">
        <f>E112*luongphu</f>
        <v>732000</v>
      </c>
      <c r="H112" s="675">
        <f>E112*khoantructiep</f>
        <v>244000</v>
      </c>
      <c r="I112" s="675">
        <f>E112*KhongOndinhSX</f>
        <v>0</v>
      </c>
      <c r="J112" s="675">
        <f>E112*thuhut</f>
        <v>0</v>
      </c>
      <c r="K112" s="675"/>
      <c r="L112" s="675"/>
      <c r="M112" s="675">
        <f>ROUND(SUM(E112:L112)/26,0)</f>
        <v>280231</v>
      </c>
    </row>
    <row r="113" spans="1:13">
      <c r="A113" s="691"/>
      <c r="B113" s="691"/>
      <c r="C113" s="683" t="s">
        <v>194</v>
      </c>
      <c r="D113" s="684">
        <v>3.6</v>
      </c>
      <c r="E113" s="675">
        <f>D113*LTTV</f>
        <v>7200000</v>
      </c>
      <c r="F113" s="675">
        <f>$F$10</f>
        <v>210000</v>
      </c>
      <c r="G113" s="675">
        <f>E113*luongphu</f>
        <v>864000</v>
      </c>
      <c r="H113" s="675">
        <f>E113*khoantructiep</f>
        <v>288000</v>
      </c>
      <c r="I113" s="675">
        <f>E113*KhongOndinhSX</f>
        <v>0</v>
      </c>
      <c r="J113" s="675">
        <f>E113*thuhut</f>
        <v>0</v>
      </c>
      <c r="K113" s="675"/>
      <c r="L113" s="675"/>
      <c r="M113" s="675">
        <f>ROUND(SUM(E113:L113)/26,0)</f>
        <v>329308</v>
      </c>
    </row>
    <row r="114" spans="1:13">
      <c r="A114" s="678" t="s">
        <v>432</v>
      </c>
      <c r="B114" s="678"/>
      <c r="C114" s="668"/>
      <c r="D114" s="685"/>
      <c r="E114" s="686"/>
      <c r="F114" s="686"/>
      <c r="G114" s="686"/>
      <c r="H114" s="686"/>
      <c r="I114" s="686"/>
      <c r="J114" s="686"/>
      <c r="K114" s="686"/>
      <c r="L114" s="686"/>
      <c r="M114" s="686"/>
    </row>
    <row r="115" spans="1:13">
      <c r="A115" s="691"/>
      <c r="B115" s="691"/>
      <c r="C115" s="683" t="s">
        <v>173</v>
      </c>
      <c r="D115" s="684">
        <v>2.35</v>
      </c>
      <c r="E115" s="675">
        <f>D115*LTTV</f>
        <v>4700000</v>
      </c>
      <c r="F115" s="675">
        <f>$F$10</f>
        <v>210000</v>
      </c>
      <c r="G115" s="675">
        <f>E115*luongphu</f>
        <v>564000</v>
      </c>
      <c r="H115" s="675">
        <f>E115*khoantructiep</f>
        <v>188000</v>
      </c>
      <c r="I115" s="675">
        <f>E115*KhongOndinhSX</f>
        <v>0</v>
      </c>
      <c r="J115" s="675">
        <f>E115*thuhut</f>
        <v>0</v>
      </c>
      <c r="K115" s="675"/>
      <c r="L115" s="675"/>
      <c r="M115" s="675">
        <f>ROUND(SUM(E115:L115)/26,0)</f>
        <v>217769</v>
      </c>
    </row>
    <row r="116" spans="1:13">
      <c r="A116" s="691"/>
      <c r="B116" s="691"/>
      <c r="C116" s="683" t="s">
        <v>177</v>
      </c>
      <c r="D116" s="684">
        <v>2.76</v>
      </c>
      <c r="E116" s="675">
        <f>D116*LTTV</f>
        <v>5520000</v>
      </c>
      <c r="F116" s="675">
        <f>$F$10</f>
        <v>210000</v>
      </c>
      <c r="G116" s="675">
        <f>E116*luongphu</f>
        <v>662400</v>
      </c>
      <c r="H116" s="675">
        <f>E116*khoantructiep</f>
        <v>220800</v>
      </c>
      <c r="I116" s="675">
        <f>E116*KhongOndinhSX</f>
        <v>0</v>
      </c>
      <c r="J116" s="675">
        <f>E116*thuhut</f>
        <v>0</v>
      </c>
      <c r="K116" s="675"/>
      <c r="L116" s="675"/>
      <c r="M116" s="675">
        <f>ROUND(SUM(E116:L116)/26,0)</f>
        <v>254354</v>
      </c>
    </row>
    <row r="117" spans="1:13">
      <c r="A117" s="691"/>
      <c r="B117" s="691"/>
      <c r="C117" s="683" t="s">
        <v>182</v>
      </c>
      <c r="D117" s="684">
        <v>3.25</v>
      </c>
      <c r="E117" s="675">
        <f>D117*LTTV</f>
        <v>6500000</v>
      </c>
      <c r="F117" s="675">
        <f>$F$10</f>
        <v>210000</v>
      </c>
      <c r="G117" s="675">
        <f>E117*luongphu</f>
        <v>780000</v>
      </c>
      <c r="H117" s="675">
        <f>E117*khoantructiep</f>
        <v>260000</v>
      </c>
      <c r="I117" s="675">
        <f>E117*KhongOndinhSX</f>
        <v>0</v>
      </c>
      <c r="J117" s="675">
        <f>E117*thuhut</f>
        <v>0</v>
      </c>
      <c r="K117" s="675"/>
      <c r="L117" s="675"/>
      <c r="M117" s="675">
        <f>ROUND(SUM(E117:L117)/26,0)</f>
        <v>298077</v>
      </c>
    </row>
    <row r="118" spans="1:13">
      <c r="A118" s="691"/>
      <c r="B118" s="691"/>
      <c r="C118" s="683" t="s">
        <v>194</v>
      </c>
      <c r="D118" s="684">
        <v>3.82</v>
      </c>
      <c r="E118" s="675">
        <f>D118*LTTV</f>
        <v>7640000</v>
      </c>
      <c r="F118" s="675">
        <f>$F$10</f>
        <v>210000</v>
      </c>
      <c r="G118" s="675">
        <f>E118*luongphu</f>
        <v>916800</v>
      </c>
      <c r="H118" s="675">
        <f>E118*khoantructiep</f>
        <v>305600</v>
      </c>
      <c r="I118" s="675">
        <f>E118*KhongOndinhSX</f>
        <v>0</v>
      </c>
      <c r="J118" s="675">
        <f>E118*thuhut</f>
        <v>0</v>
      </c>
      <c r="K118" s="675"/>
      <c r="L118" s="675"/>
      <c r="M118" s="675">
        <f>ROUND(SUM(E118:L118)/26,0)</f>
        <v>348938</v>
      </c>
    </row>
    <row r="119" spans="1:13">
      <c r="A119" s="678" t="s">
        <v>433</v>
      </c>
      <c r="B119" s="678"/>
      <c r="C119" s="668"/>
      <c r="D119" s="685"/>
      <c r="E119" s="686"/>
      <c r="F119" s="686"/>
      <c r="G119" s="686"/>
      <c r="H119" s="686"/>
      <c r="I119" s="686"/>
      <c r="J119" s="686"/>
      <c r="K119" s="686"/>
      <c r="L119" s="686"/>
      <c r="M119" s="686"/>
    </row>
    <row r="120" spans="1:13">
      <c r="A120" s="691"/>
      <c r="B120" s="691"/>
      <c r="C120" s="683" t="s">
        <v>173</v>
      </c>
      <c r="D120" s="684">
        <v>2.5099999999999998</v>
      </c>
      <c r="E120" s="675">
        <f>D120*LTTV</f>
        <v>5020000</v>
      </c>
      <c r="F120" s="675">
        <f>$F$10</f>
        <v>210000</v>
      </c>
      <c r="G120" s="675">
        <f>E120*luongphu</f>
        <v>602400</v>
      </c>
      <c r="H120" s="675">
        <f>E120*khoantructiep</f>
        <v>200800</v>
      </c>
      <c r="I120" s="675">
        <f>E120*KhongOndinhSX</f>
        <v>0</v>
      </c>
      <c r="J120" s="675">
        <f>E120*thuhut</f>
        <v>0</v>
      </c>
      <c r="K120" s="675"/>
      <c r="L120" s="675"/>
      <c r="M120" s="675">
        <f>ROUND(SUM(E120:L120)/26,0)</f>
        <v>232046</v>
      </c>
    </row>
    <row r="121" spans="1:13">
      <c r="A121" s="691"/>
      <c r="B121" s="691"/>
      <c r="C121" s="683" t="s">
        <v>177</v>
      </c>
      <c r="D121" s="684">
        <v>2.94</v>
      </c>
      <c r="E121" s="675">
        <f>D121*LTTV</f>
        <v>5880000</v>
      </c>
      <c r="F121" s="675">
        <f>$F$10</f>
        <v>210000</v>
      </c>
      <c r="G121" s="675">
        <f>E121*luongphu</f>
        <v>705600</v>
      </c>
      <c r="H121" s="675">
        <f>E121*khoantructiep</f>
        <v>235200</v>
      </c>
      <c r="I121" s="675">
        <f>E121*KhongOndinhSX</f>
        <v>0</v>
      </c>
      <c r="J121" s="675">
        <f>E121*thuhut</f>
        <v>0</v>
      </c>
      <c r="K121" s="675"/>
      <c r="L121" s="675"/>
      <c r="M121" s="675">
        <f>ROUND(SUM(E121:L121)/26,0)</f>
        <v>270415</v>
      </c>
    </row>
    <row r="122" spans="1:13">
      <c r="A122" s="691"/>
      <c r="B122" s="691"/>
      <c r="C122" s="683" t="s">
        <v>182</v>
      </c>
      <c r="D122" s="684">
        <v>3.44</v>
      </c>
      <c r="E122" s="675">
        <f>D122*LTTV</f>
        <v>6880000</v>
      </c>
      <c r="F122" s="675">
        <f>$F$10</f>
        <v>210000</v>
      </c>
      <c r="G122" s="675">
        <f>E122*luongphu</f>
        <v>825600</v>
      </c>
      <c r="H122" s="675">
        <f>E122*khoantructiep</f>
        <v>275200</v>
      </c>
      <c r="I122" s="675">
        <f>E122*KhongOndinhSX</f>
        <v>0</v>
      </c>
      <c r="J122" s="675">
        <f>E122*thuhut</f>
        <v>0</v>
      </c>
      <c r="K122" s="675"/>
      <c r="L122" s="675"/>
      <c r="M122" s="675">
        <f>ROUND(SUM(E122:L122)/26,0)</f>
        <v>315031</v>
      </c>
    </row>
    <row r="123" spans="1:13">
      <c r="A123" s="691"/>
      <c r="B123" s="691"/>
      <c r="C123" s="683" t="s">
        <v>194</v>
      </c>
      <c r="D123" s="683">
        <v>4.05</v>
      </c>
      <c r="E123" s="675">
        <f>D123*LTTV</f>
        <v>8100000</v>
      </c>
      <c r="F123" s="675">
        <f>$F$10</f>
        <v>210000</v>
      </c>
      <c r="G123" s="675">
        <f>E123*luongphu</f>
        <v>972000</v>
      </c>
      <c r="H123" s="675">
        <f>E123*khoantructiep</f>
        <v>324000</v>
      </c>
      <c r="I123" s="675">
        <f>E123*KhongOndinhSX</f>
        <v>0</v>
      </c>
      <c r="J123" s="675">
        <f>E123*thuhut</f>
        <v>0</v>
      </c>
      <c r="K123" s="675"/>
      <c r="L123" s="675"/>
      <c r="M123" s="675">
        <f>ROUND(SUM(E123:L123)/26,0)</f>
        <v>369462</v>
      </c>
    </row>
    <row r="124" spans="1:13">
      <c r="A124" s="678" t="s">
        <v>434</v>
      </c>
      <c r="B124" s="678"/>
      <c r="C124" s="668"/>
      <c r="D124" s="685"/>
      <c r="E124" s="686"/>
      <c r="F124" s="686"/>
      <c r="G124" s="686"/>
      <c r="H124" s="686"/>
      <c r="I124" s="686"/>
      <c r="J124" s="686"/>
      <c r="K124" s="686"/>
      <c r="L124" s="686"/>
      <c r="M124" s="686"/>
    </row>
    <row r="125" spans="1:13">
      <c r="A125" s="691"/>
      <c r="B125" s="691"/>
      <c r="C125" s="683" t="s">
        <v>173</v>
      </c>
      <c r="D125" s="684">
        <v>2.66</v>
      </c>
      <c r="E125" s="675">
        <f>D125*LTTV</f>
        <v>5320000</v>
      </c>
      <c r="F125" s="675">
        <f>$F$10</f>
        <v>210000</v>
      </c>
      <c r="G125" s="675">
        <f>E125*luongphu</f>
        <v>638400</v>
      </c>
      <c r="H125" s="675">
        <f>E125*khoantructiep</f>
        <v>212800</v>
      </c>
      <c r="I125" s="675">
        <f>E125*KhongOndinhSX</f>
        <v>0</v>
      </c>
      <c r="J125" s="675">
        <f>E125*thuhut</f>
        <v>0</v>
      </c>
      <c r="K125" s="675"/>
      <c r="L125" s="675"/>
      <c r="M125" s="675">
        <f>ROUND(SUM(E125:L125)/26,0)</f>
        <v>245431</v>
      </c>
    </row>
    <row r="126" spans="1:13">
      <c r="A126" s="691"/>
      <c r="B126" s="691"/>
      <c r="C126" s="683" t="s">
        <v>177</v>
      </c>
      <c r="D126" s="684">
        <v>3.11</v>
      </c>
      <c r="E126" s="675">
        <f>D126*LTTV</f>
        <v>6220000</v>
      </c>
      <c r="F126" s="675">
        <f>$F$10</f>
        <v>210000</v>
      </c>
      <c r="G126" s="675">
        <f>E126*luongphu</f>
        <v>746400</v>
      </c>
      <c r="H126" s="675">
        <f>E126*khoantructiep</f>
        <v>248800</v>
      </c>
      <c r="I126" s="675">
        <f>E126*KhongOndinhSX</f>
        <v>0</v>
      </c>
      <c r="J126" s="675">
        <f>E126*thuhut</f>
        <v>0</v>
      </c>
      <c r="K126" s="675"/>
      <c r="L126" s="675"/>
      <c r="M126" s="675">
        <f>ROUND(SUM(E126:L126)/26,0)</f>
        <v>285585</v>
      </c>
    </row>
    <row r="127" spans="1:13">
      <c r="A127" s="691"/>
      <c r="B127" s="691"/>
      <c r="C127" s="683" t="s">
        <v>182</v>
      </c>
      <c r="D127" s="684">
        <v>3.64</v>
      </c>
      <c r="E127" s="675">
        <f>D127*LTTV</f>
        <v>7280000</v>
      </c>
      <c r="F127" s="675">
        <f>$F$10</f>
        <v>210000</v>
      </c>
      <c r="G127" s="675">
        <f>E127*luongphu</f>
        <v>873600</v>
      </c>
      <c r="H127" s="675">
        <f>E127*khoantructiep</f>
        <v>291200</v>
      </c>
      <c r="I127" s="675">
        <f>E127*KhongOndinhSX</f>
        <v>0</v>
      </c>
      <c r="J127" s="675">
        <f>E127*thuhut</f>
        <v>0</v>
      </c>
      <c r="K127" s="675"/>
      <c r="L127" s="675"/>
      <c r="M127" s="675">
        <f>ROUND(SUM(E127:L127)/26,0)</f>
        <v>332877</v>
      </c>
    </row>
    <row r="128" spans="1:13">
      <c r="A128" s="691"/>
      <c r="B128" s="691"/>
      <c r="C128" s="683" t="s">
        <v>194</v>
      </c>
      <c r="D128" s="684">
        <v>4.2</v>
      </c>
      <c r="E128" s="675">
        <f>D128*LTTV</f>
        <v>8400000</v>
      </c>
      <c r="F128" s="675">
        <f>$F$10</f>
        <v>210000</v>
      </c>
      <c r="G128" s="675">
        <f>E128*luongphu</f>
        <v>1008000</v>
      </c>
      <c r="H128" s="675">
        <f>E128*khoantructiep</f>
        <v>336000</v>
      </c>
      <c r="I128" s="675">
        <f>E128*KhongOndinhSX</f>
        <v>0</v>
      </c>
      <c r="J128" s="675">
        <f>E128*thuhut</f>
        <v>0</v>
      </c>
      <c r="K128" s="675"/>
      <c r="L128" s="675"/>
      <c r="M128" s="675">
        <f>ROUND(SUM(E128:L128)/26,0)</f>
        <v>382846</v>
      </c>
    </row>
    <row r="129" spans="1:13">
      <c r="A129" s="678" t="s">
        <v>435</v>
      </c>
      <c r="B129" s="678"/>
      <c r="C129" s="668"/>
      <c r="D129" s="685"/>
      <c r="E129" s="686"/>
      <c r="F129" s="686"/>
      <c r="G129" s="686"/>
      <c r="H129" s="686"/>
      <c r="I129" s="686"/>
      <c r="J129" s="686"/>
      <c r="K129" s="686"/>
      <c r="L129" s="686"/>
      <c r="M129" s="686"/>
    </row>
    <row r="130" spans="1:13">
      <c r="A130" s="691"/>
      <c r="B130" s="691"/>
      <c r="C130" s="683" t="s">
        <v>173</v>
      </c>
      <c r="D130" s="684">
        <v>2.99</v>
      </c>
      <c r="E130" s="675">
        <f>D130*LTTV</f>
        <v>5980000</v>
      </c>
      <c r="F130" s="675">
        <f>$F$10</f>
        <v>210000</v>
      </c>
      <c r="G130" s="675">
        <f>E130*luongphu</f>
        <v>717600</v>
      </c>
      <c r="H130" s="675">
        <f>E130*khoantructiep</f>
        <v>239200</v>
      </c>
      <c r="I130" s="675">
        <f>E130*KhongOndinhSX</f>
        <v>0</v>
      </c>
      <c r="J130" s="675">
        <f>E130*thuhut</f>
        <v>0</v>
      </c>
      <c r="K130" s="675"/>
      <c r="L130" s="675"/>
      <c r="M130" s="675">
        <f>ROUND(SUM(E130:L130)/26,0)</f>
        <v>274877</v>
      </c>
    </row>
    <row r="131" spans="1:13">
      <c r="A131" s="691"/>
      <c r="B131" s="691"/>
      <c r="C131" s="683" t="s">
        <v>177</v>
      </c>
      <c r="D131" s="684">
        <v>3.5</v>
      </c>
      <c r="E131" s="675">
        <f>D131*LTTV</f>
        <v>7000000</v>
      </c>
      <c r="F131" s="675">
        <f>$F$10</f>
        <v>210000</v>
      </c>
      <c r="G131" s="675">
        <f>E131*luongphu</f>
        <v>840000</v>
      </c>
      <c r="H131" s="675">
        <f>E131*khoantructiep</f>
        <v>280000</v>
      </c>
      <c r="I131" s="675">
        <f>E131*KhongOndinhSX</f>
        <v>0</v>
      </c>
      <c r="J131" s="675">
        <f>E131*thuhut</f>
        <v>0</v>
      </c>
      <c r="K131" s="675"/>
      <c r="L131" s="675"/>
      <c r="M131" s="675">
        <f>ROUND(SUM(E131:L131)/26,0)</f>
        <v>320385</v>
      </c>
    </row>
    <row r="132" spans="1:13">
      <c r="A132" s="691"/>
      <c r="B132" s="691"/>
      <c r="C132" s="683" t="s">
        <v>182</v>
      </c>
      <c r="D132" s="684">
        <v>4.1100000000000003</v>
      </c>
      <c r="E132" s="675">
        <f>D132*LTTV</f>
        <v>8220000.0000000009</v>
      </c>
      <c r="F132" s="675">
        <f>$F$10</f>
        <v>210000</v>
      </c>
      <c r="G132" s="675">
        <f>E132*luongphu</f>
        <v>986400.00000000012</v>
      </c>
      <c r="H132" s="675">
        <f>E132*khoantructiep</f>
        <v>328800.00000000006</v>
      </c>
      <c r="I132" s="675">
        <f>E132*KhongOndinhSX</f>
        <v>0</v>
      </c>
      <c r="J132" s="675">
        <f>E132*thuhut</f>
        <v>0</v>
      </c>
      <c r="K132" s="675"/>
      <c r="L132" s="675"/>
      <c r="M132" s="675">
        <f>ROUND(SUM(E132:L132)/26,0)</f>
        <v>374815</v>
      </c>
    </row>
    <row r="133" spans="1:13">
      <c r="A133" s="691"/>
      <c r="B133" s="691"/>
      <c r="C133" s="683" t="s">
        <v>194</v>
      </c>
      <c r="D133" s="683">
        <v>4.82</v>
      </c>
      <c r="E133" s="675">
        <f>D133*LTTV</f>
        <v>9640000</v>
      </c>
      <c r="F133" s="675">
        <f>$F$10</f>
        <v>210000</v>
      </c>
      <c r="G133" s="675">
        <f>E133*luongphu</f>
        <v>1156800</v>
      </c>
      <c r="H133" s="675">
        <f>E133*khoantructiep</f>
        <v>385600</v>
      </c>
      <c r="I133" s="675">
        <f>E133*KhongOndinhSX</f>
        <v>0</v>
      </c>
      <c r="J133" s="675">
        <f>E133*thuhut</f>
        <v>0</v>
      </c>
      <c r="K133" s="675"/>
      <c r="L133" s="675"/>
      <c r="M133" s="675">
        <f>ROUND(SUM(E133:L133)/26,0)</f>
        <v>438169</v>
      </c>
    </row>
    <row r="134" spans="1:13">
      <c r="A134" s="678" t="s">
        <v>436</v>
      </c>
      <c r="B134" s="678"/>
      <c r="C134" s="668"/>
      <c r="D134" s="685"/>
      <c r="E134" s="686"/>
      <c r="F134" s="686"/>
      <c r="G134" s="686"/>
      <c r="H134" s="686"/>
      <c r="I134" s="686"/>
      <c r="J134" s="686"/>
      <c r="K134" s="686"/>
      <c r="L134" s="686"/>
      <c r="M134" s="686"/>
    </row>
    <row r="135" spans="1:13">
      <c r="A135" s="691"/>
      <c r="B135" s="691"/>
      <c r="C135" s="683" t="s">
        <v>173</v>
      </c>
      <c r="D135" s="684">
        <v>3.2</v>
      </c>
      <c r="E135" s="675">
        <f>D135*LTTV</f>
        <v>6400000</v>
      </c>
      <c r="F135" s="675">
        <f>$F$10</f>
        <v>210000</v>
      </c>
      <c r="G135" s="675">
        <f>E135*luongphu</f>
        <v>768000</v>
      </c>
      <c r="H135" s="675">
        <f>E135*khoantructiep</f>
        <v>256000</v>
      </c>
      <c r="I135" s="675">
        <f>E135*KhongOndinhSX</f>
        <v>0</v>
      </c>
      <c r="J135" s="675">
        <f>E135*thuhut</f>
        <v>0</v>
      </c>
      <c r="K135" s="675"/>
      <c r="L135" s="675"/>
      <c r="M135" s="675">
        <f>ROUND(SUM(E135:L135)/26,0)</f>
        <v>293615</v>
      </c>
    </row>
    <row r="136" spans="1:13">
      <c r="A136" s="691"/>
      <c r="B136" s="691"/>
      <c r="C136" s="683" t="s">
        <v>177</v>
      </c>
      <c r="D136" s="684">
        <v>3.75</v>
      </c>
      <c r="E136" s="675">
        <f>D136*LTTV</f>
        <v>7500000</v>
      </c>
      <c r="F136" s="675">
        <f>$F$10</f>
        <v>210000</v>
      </c>
      <c r="G136" s="675">
        <f>E136*luongphu</f>
        <v>900000</v>
      </c>
      <c r="H136" s="675">
        <f>E136*khoantructiep</f>
        <v>300000</v>
      </c>
      <c r="I136" s="675">
        <f>E136*KhongOndinhSX</f>
        <v>0</v>
      </c>
      <c r="J136" s="675">
        <f>E136*thuhut</f>
        <v>0</v>
      </c>
      <c r="K136" s="675"/>
      <c r="L136" s="675"/>
      <c r="M136" s="675">
        <f>ROUND(SUM(E136:L136)/26,0)</f>
        <v>342692</v>
      </c>
    </row>
    <row r="137" spans="1:13">
      <c r="A137" s="691"/>
      <c r="B137" s="691"/>
      <c r="C137" s="683" t="s">
        <v>182</v>
      </c>
      <c r="D137" s="684">
        <v>4.3899999999999997</v>
      </c>
      <c r="E137" s="675">
        <f>D137*LTTV</f>
        <v>8780000</v>
      </c>
      <c r="F137" s="675">
        <f>$F$10</f>
        <v>210000</v>
      </c>
      <c r="G137" s="675">
        <f>E137*luongphu</f>
        <v>1053600</v>
      </c>
      <c r="H137" s="675">
        <f>E137*khoantructiep</f>
        <v>351200</v>
      </c>
      <c r="I137" s="675">
        <f>E137*KhongOndinhSX</f>
        <v>0</v>
      </c>
      <c r="J137" s="675">
        <f>E137*thuhut</f>
        <v>0</v>
      </c>
      <c r="K137" s="675"/>
      <c r="L137" s="675"/>
      <c r="M137" s="675">
        <f>ROUND(SUM(E137:L137)/26,0)</f>
        <v>399800</v>
      </c>
    </row>
    <row r="138" spans="1:13">
      <c r="A138" s="691"/>
      <c r="B138" s="691"/>
      <c r="C138" s="683" t="s">
        <v>194</v>
      </c>
      <c r="D138" s="684">
        <v>5.15</v>
      </c>
      <c r="E138" s="675">
        <f>D138*LTTV</f>
        <v>10300000</v>
      </c>
      <c r="F138" s="675">
        <f>$F$10</f>
        <v>210000</v>
      </c>
      <c r="G138" s="675">
        <f>E138*luongphu</f>
        <v>1236000</v>
      </c>
      <c r="H138" s="675">
        <f>E138*khoantructiep</f>
        <v>412000</v>
      </c>
      <c r="I138" s="675">
        <f>E138*KhongOndinhSX</f>
        <v>0</v>
      </c>
      <c r="J138" s="675">
        <f>E138*thuhut</f>
        <v>0</v>
      </c>
      <c r="K138" s="675"/>
      <c r="L138" s="675"/>
      <c r="M138" s="675">
        <f>ROUND(SUM(E138:L138)/26,0)</f>
        <v>467615</v>
      </c>
    </row>
    <row r="139" spans="1:13">
      <c r="A139" s="663" t="s">
        <v>437</v>
      </c>
      <c r="B139" s="663"/>
      <c r="C139" s="664"/>
      <c r="D139" s="665"/>
      <c r="E139" s="666"/>
      <c r="F139" s="666"/>
      <c r="G139" s="666"/>
      <c r="H139" s="666"/>
      <c r="I139" s="666"/>
      <c r="J139" s="666"/>
      <c r="K139" s="666"/>
      <c r="L139" s="666"/>
      <c r="M139" s="666"/>
    </row>
    <row r="140" spans="1:13">
      <c r="A140" s="692" t="s">
        <v>438</v>
      </c>
      <c r="B140" s="693"/>
      <c r="C140" s="694"/>
      <c r="D140" s="694"/>
      <c r="E140" s="695"/>
      <c r="F140" s="695"/>
      <c r="G140" s="695"/>
      <c r="H140" s="686"/>
      <c r="I140" s="686"/>
      <c r="J140" s="686"/>
      <c r="K140" s="686"/>
      <c r="L140" s="686"/>
      <c r="M140" s="686"/>
    </row>
    <row r="141" spans="1:13">
      <c r="A141" s="692" t="s">
        <v>788</v>
      </c>
      <c r="B141" s="692"/>
      <c r="C141" s="694"/>
      <c r="D141" s="694"/>
      <c r="E141" s="695"/>
      <c r="F141" s="695"/>
      <c r="G141" s="695"/>
      <c r="H141" s="686"/>
      <c r="I141" s="686"/>
      <c r="J141" s="686"/>
      <c r="K141" s="686"/>
      <c r="L141" s="686"/>
      <c r="M141" s="686"/>
    </row>
    <row r="142" spans="1:13">
      <c r="A142" s="685" t="s">
        <v>439</v>
      </c>
      <c r="B142" s="678"/>
      <c r="C142" s="696"/>
      <c r="D142" s="685"/>
      <c r="E142" s="686"/>
      <c r="F142" s="686"/>
      <c r="G142" s="686"/>
      <c r="H142" s="686"/>
      <c r="I142" s="686"/>
      <c r="J142" s="686"/>
      <c r="K142" s="686"/>
      <c r="L142" s="686"/>
      <c r="M142" s="686"/>
    </row>
    <row r="143" spans="1:13">
      <c r="A143" s="692" t="s">
        <v>440</v>
      </c>
      <c r="B143" s="693"/>
      <c r="C143" s="685"/>
      <c r="D143" s="685"/>
      <c r="E143" s="686"/>
      <c r="F143" s="686"/>
      <c r="G143" s="686"/>
      <c r="H143" s="686"/>
      <c r="I143" s="686"/>
      <c r="J143" s="686"/>
      <c r="K143" s="686"/>
      <c r="L143" s="686"/>
      <c r="M143" s="686"/>
    </row>
    <row r="144" spans="1:13">
      <c r="A144" s="678" t="s">
        <v>441</v>
      </c>
      <c r="B144" s="678"/>
      <c r="C144" s="685"/>
      <c r="D144" s="685"/>
      <c r="E144" s="686"/>
      <c r="F144" s="686"/>
      <c r="G144" s="686"/>
      <c r="H144" s="686"/>
      <c r="I144" s="686"/>
      <c r="J144" s="686"/>
      <c r="K144" s="686"/>
      <c r="L144" s="686"/>
      <c r="M144" s="686"/>
    </row>
    <row r="145" spans="1:13">
      <c r="A145" s="697"/>
      <c r="B145" s="697"/>
      <c r="C145" s="691"/>
      <c r="D145" s="698">
        <v>2.1800000000000002</v>
      </c>
      <c r="E145" s="675">
        <f>D145*LTTV</f>
        <v>4360000</v>
      </c>
      <c r="F145" s="675">
        <f>$F$10</f>
        <v>210000</v>
      </c>
      <c r="G145" s="675">
        <f>E145*luongphu</f>
        <v>523200</v>
      </c>
      <c r="H145" s="675">
        <f>E145*khoantructiep</f>
        <v>174400</v>
      </c>
      <c r="I145" s="675">
        <f>E145*KhongOndinhSX</f>
        <v>0</v>
      </c>
      <c r="J145" s="675">
        <f>E145*thuhut</f>
        <v>0</v>
      </c>
      <c r="K145" s="675"/>
      <c r="L145" s="675"/>
      <c r="M145" s="675">
        <f>ROUND(SUM(E145:L145)/26,0)</f>
        <v>202600</v>
      </c>
    </row>
    <row r="146" spans="1:13">
      <c r="A146" s="697"/>
      <c r="B146" s="697"/>
      <c r="C146" s="691"/>
      <c r="D146" s="698">
        <v>2.59</v>
      </c>
      <c r="E146" s="675">
        <f>D146*LTTV</f>
        <v>5180000</v>
      </c>
      <c r="F146" s="675">
        <f>$F$10</f>
        <v>210000</v>
      </c>
      <c r="G146" s="675">
        <f>E146*luongphu</f>
        <v>621600</v>
      </c>
      <c r="H146" s="675">
        <f>E146*khoantructiep</f>
        <v>207200</v>
      </c>
      <c r="I146" s="675">
        <f>E146*KhongOndinhSX</f>
        <v>0</v>
      </c>
      <c r="J146" s="675">
        <f>E146*thuhut</f>
        <v>0</v>
      </c>
      <c r="K146" s="675"/>
      <c r="L146" s="675"/>
      <c r="M146" s="675">
        <f>ROUND(SUM(E146:L146)/26,0)</f>
        <v>239185</v>
      </c>
    </row>
    <row r="147" spans="1:13">
      <c r="A147" s="697"/>
      <c r="B147" s="697"/>
      <c r="C147" s="691"/>
      <c r="D147" s="698">
        <v>3.08</v>
      </c>
      <c r="E147" s="675">
        <f>D147*LTTV</f>
        <v>6160000</v>
      </c>
      <c r="F147" s="675">
        <f>$F$10</f>
        <v>210000</v>
      </c>
      <c r="G147" s="675">
        <f>E147*luongphu</f>
        <v>739200</v>
      </c>
      <c r="H147" s="675">
        <f>E147*khoantructiep</f>
        <v>246400</v>
      </c>
      <c r="I147" s="675">
        <f>E147*KhongOndinhSX</f>
        <v>0</v>
      </c>
      <c r="J147" s="675">
        <f>E147*thuhut</f>
        <v>0</v>
      </c>
      <c r="K147" s="675"/>
      <c r="L147" s="675"/>
      <c r="M147" s="675">
        <f>ROUND(SUM(E147:L147)/26,0)</f>
        <v>282908</v>
      </c>
    </row>
    <row r="148" spans="1:13">
      <c r="A148" s="697"/>
      <c r="B148" s="697"/>
      <c r="C148" s="691"/>
      <c r="D148" s="698">
        <v>3.73</v>
      </c>
      <c r="E148" s="675">
        <f>D148*LTTV</f>
        <v>7460000</v>
      </c>
      <c r="F148" s="675">
        <f>$F$10</f>
        <v>210000</v>
      </c>
      <c r="G148" s="675">
        <f>E148*luongphu</f>
        <v>895200</v>
      </c>
      <c r="H148" s="675">
        <f>E148*khoantructiep</f>
        <v>298400</v>
      </c>
      <c r="I148" s="675">
        <f>E148*KhongOndinhSX</f>
        <v>0</v>
      </c>
      <c r="J148" s="675">
        <f>E148*thuhut</f>
        <v>0</v>
      </c>
      <c r="K148" s="675"/>
      <c r="L148" s="675"/>
      <c r="M148" s="675">
        <f>ROUND(SUM(E148:L148)/26,0)</f>
        <v>340908</v>
      </c>
    </row>
    <row r="149" spans="1:13">
      <c r="A149" s="678" t="s">
        <v>442</v>
      </c>
      <c r="B149" s="678"/>
      <c r="C149" s="685"/>
      <c r="D149" s="685"/>
      <c r="E149" s="686"/>
      <c r="F149" s="686"/>
      <c r="G149" s="686"/>
      <c r="H149" s="686"/>
      <c r="I149" s="686"/>
      <c r="J149" s="686"/>
      <c r="K149" s="686"/>
      <c r="L149" s="686"/>
      <c r="M149" s="675"/>
    </row>
    <row r="150" spans="1:13">
      <c r="A150" s="697"/>
      <c r="B150" s="697"/>
      <c r="C150" s="691"/>
      <c r="D150" s="698">
        <v>2.5099999999999998</v>
      </c>
      <c r="E150" s="675">
        <f>D150*LTTV</f>
        <v>5020000</v>
      </c>
      <c r="F150" s="675">
        <f>$F$10</f>
        <v>210000</v>
      </c>
      <c r="G150" s="675">
        <f>E150*luongphu</f>
        <v>602400</v>
      </c>
      <c r="H150" s="675">
        <f>E150*khoantructiep</f>
        <v>200800</v>
      </c>
      <c r="I150" s="675">
        <f>E150*KhongOndinhSX</f>
        <v>0</v>
      </c>
      <c r="J150" s="675">
        <f>E150*thuhut</f>
        <v>0</v>
      </c>
      <c r="K150" s="675"/>
      <c r="L150" s="675"/>
      <c r="M150" s="675">
        <f>ROUND(SUM(E150:L150)/26,0)</f>
        <v>232046</v>
      </c>
    </row>
    <row r="151" spans="1:13">
      <c r="A151" s="697"/>
      <c r="B151" s="697"/>
      <c r="C151" s="691"/>
      <c r="D151" s="698">
        <v>2.93</v>
      </c>
      <c r="E151" s="675">
        <f>D151*LTTV</f>
        <v>5860000</v>
      </c>
      <c r="F151" s="675">
        <f>$F$10</f>
        <v>210000</v>
      </c>
      <c r="G151" s="675">
        <f>E151*luongphu</f>
        <v>703200</v>
      </c>
      <c r="H151" s="675">
        <f>E151*khoantructiep</f>
        <v>234400</v>
      </c>
      <c r="I151" s="675">
        <f>E151*KhongOndinhSX</f>
        <v>0</v>
      </c>
      <c r="J151" s="675">
        <f>E151*thuhut</f>
        <v>0</v>
      </c>
      <c r="K151" s="675"/>
      <c r="L151" s="675"/>
      <c r="M151" s="675">
        <f>ROUND(SUM(E151:L151)/26,0)</f>
        <v>269523</v>
      </c>
    </row>
    <row r="152" spans="1:13">
      <c r="A152" s="697"/>
      <c r="B152" s="697"/>
      <c r="C152" s="691"/>
      <c r="D152" s="698">
        <v>3.49</v>
      </c>
      <c r="E152" s="675">
        <f>D152*LTTV</f>
        <v>6980000</v>
      </c>
      <c r="F152" s="675">
        <f>$F$10</f>
        <v>210000</v>
      </c>
      <c r="G152" s="675">
        <f>E152*luongphu</f>
        <v>837600</v>
      </c>
      <c r="H152" s="675">
        <f>E152*khoantructiep</f>
        <v>279200</v>
      </c>
      <c r="I152" s="675">
        <f>E152*KhongOndinhSX</f>
        <v>0</v>
      </c>
      <c r="J152" s="675">
        <f>E152*thuhut</f>
        <v>0</v>
      </c>
      <c r="K152" s="675"/>
      <c r="L152" s="675"/>
      <c r="M152" s="675">
        <f>ROUND(SUM(E152:L152)/26,0)</f>
        <v>319492</v>
      </c>
    </row>
    <row r="153" spans="1:13">
      <c r="A153" s="697"/>
      <c r="B153" s="697"/>
      <c r="C153" s="691"/>
      <c r="D153" s="698">
        <v>4.16</v>
      </c>
      <c r="E153" s="675">
        <f>D153*LTTV</f>
        <v>8320000</v>
      </c>
      <c r="F153" s="675">
        <f>$F$10</f>
        <v>210000</v>
      </c>
      <c r="G153" s="675">
        <f>E153*luongphu</f>
        <v>998400</v>
      </c>
      <c r="H153" s="675">
        <f>E153*khoantructiep</f>
        <v>332800</v>
      </c>
      <c r="I153" s="675">
        <f>E153*KhongOndinhSX</f>
        <v>0</v>
      </c>
      <c r="J153" s="675">
        <f>E153*thuhut</f>
        <v>0</v>
      </c>
      <c r="K153" s="675"/>
      <c r="L153" s="675"/>
      <c r="M153" s="675">
        <f>ROUND(SUM(E153:L153)/26,0)</f>
        <v>379277</v>
      </c>
    </row>
    <row r="154" spans="1:13">
      <c r="A154" s="678" t="s">
        <v>443</v>
      </c>
      <c r="B154" s="678"/>
      <c r="C154" s="685"/>
      <c r="D154" s="685"/>
      <c r="E154" s="686"/>
      <c r="F154" s="686"/>
      <c r="G154" s="686"/>
      <c r="H154" s="686"/>
      <c r="I154" s="686"/>
      <c r="J154" s="686"/>
      <c r="K154" s="686"/>
      <c r="L154" s="686"/>
      <c r="M154" s="675"/>
    </row>
    <row r="155" spans="1:13">
      <c r="A155" s="697"/>
      <c r="B155" s="697"/>
      <c r="C155" s="691"/>
      <c r="D155" s="698">
        <v>2.35</v>
      </c>
      <c r="E155" s="675">
        <f>D155*LTTV</f>
        <v>4700000</v>
      </c>
      <c r="F155" s="675">
        <f>$F$10</f>
        <v>210000</v>
      </c>
      <c r="G155" s="675">
        <f>E155*luongphu</f>
        <v>564000</v>
      </c>
      <c r="H155" s="675">
        <f>E155*khoantructiep</f>
        <v>188000</v>
      </c>
      <c r="I155" s="675">
        <f>E155*KhongOndinhSX</f>
        <v>0</v>
      </c>
      <c r="J155" s="675">
        <f>E155*thuhut</f>
        <v>0</v>
      </c>
      <c r="K155" s="675"/>
      <c r="L155" s="675"/>
      <c r="M155" s="675">
        <f>ROUND(SUM(E155:L155)/26,0)</f>
        <v>217769</v>
      </c>
    </row>
    <row r="156" spans="1:13">
      <c r="A156" s="697"/>
      <c r="B156" s="697"/>
      <c r="C156" s="691"/>
      <c r="D156" s="698">
        <v>2.72</v>
      </c>
      <c r="E156" s="675">
        <f>D156*LTTV</f>
        <v>5440000</v>
      </c>
      <c r="F156" s="675">
        <f>$F$10</f>
        <v>210000</v>
      </c>
      <c r="G156" s="675">
        <f>E156*luongphu</f>
        <v>652800</v>
      </c>
      <c r="H156" s="675">
        <f>E156*khoantructiep</f>
        <v>217600</v>
      </c>
      <c r="I156" s="675">
        <f>E156*KhongOndinhSX</f>
        <v>0</v>
      </c>
      <c r="J156" s="675">
        <f>E156*thuhut</f>
        <v>0</v>
      </c>
      <c r="K156" s="675"/>
      <c r="L156" s="675"/>
      <c r="M156" s="675">
        <f>ROUND(SUM(E156:L156)/26,0)</f>
        <v>250785</v>
      </c>
    </row>
    <row r="157" spans="1:13">
      <c r="A157" s="697"/>
      <c r="B157" s="697"/>
      <c r="C157" s="691"/>
      <c r="D157" s="698">
        <v>3.25</v>
      </c>
      <c r="E157" s="675">
        <f>D157*LTTV</f>
        <v>6500000</v>
      </c>
      <c r="F157" s="675">
        <f>$F$10</f>
        <v>210000</v>
      </c>
      <c r="G157" s="675">
        <f>E157*luongphu</f>
        <v>780000</v>
      </c>
      <c r="H157" s="675">
        <f>E157*khoantructiep</f>
        <v>260000</v>
      </c>
      <c r="I157" s="675">
        <f>E157*KhongOndinhSX</f>
        <v>0</v>
      </c>
      <c r="J157" s="675">
        <f>E157*thuhut</f>
        <v>0</v>
      </c>
      <c r="K157" s="675"/>
      <c r="L157" s="675"/>
      <c r="M157" s="675">
        <f>ROUND(SUM(E157:L157)/26,0)</f>
        <v>298077</v>
      </c>
    </row>
    <row r="158" spans="1:13">
      <c r="A158" s="697"/>
      <c r="B158" s="697"/>
      <c r="C158" s="691"/>
      <c r="D158" s="698">
        <v>3.91</v>
      </c>
      <c r="E158" s="675">
        <f>D158*LTTV</f>
        <v>7820000</v>
      </c>
      <c r="F158" s="675">
        <f>$F$10</f>
        <v>210000</v>
      </c>
      <c r="G158" s="675">
        <f>E158*luongphu</f>
        <v>938400</v>
      </c>
      <c r="H158" s="675">
        <f>E158*khoantructiep</f>
        <v>312800</v>
      </c>
      <c r="I158" s="675">
        <f>E158*KhongOndinhSX</f>
        <v>0</v>
      </c>
      <c r="J158" s="675">
        <f>E158*thuhut</f>
        <v>0</v>
      </c>
      <c r="K158" s="675"/>
      <c r="L158" s="675"/>
      <c r="M158" s="675">
        <f>ROUND(SUM(E158:L158)/26,0)</f>
        <v>356969</v>
      </c>
    </row>
    <row r="159" spans="1:13">
      <c r="A159" s="678" t="s">
        <v>444</v>
      </c>
      <c r="B159" s="678"/>
      <c r="C159" s="685"/>
      <c r="D159" s="685"/>
      <c r="E159" s="686"/>
      <c r="F159" s="686"/>
      <c r="G159" s="686"/>
      <c r="H159" s="686"/>
      <c r="I159" s="686"/>
      <c r="J159" s="686"/>
      <c r="K159" s="686"/>
      <c r="L159" s="686"/>
      <c r="M159" s="675"/>
    </row>
    <row r="160" spans="1:13">
      <c r="A160" s="697"/>
      <c r="B160" s="697"/>
      <c r="C160" s="691"/>
      <c r="D160" s="698">
        <v>1.75</v>
      </c>
      <c r="E160" s="675">
        <f>D160*LTTV</f>
        <v>3500000</v>
      </c>
      <c r="F160" s="675">
        <f>$F$10</f>
        <v>210000</v>
      </c>
      <c r="G160" s="675">
        <f>E160*luongphu</f>
        <v>420000</v>
      </c>
      <c r="H160" s="675">
        <f>E160*khoantructiep</f>
        <v>140000</v>
      </c>
      <c r="I160" s="675">
        <f>E160*KhongOndinhSX</f>
        <v>0</v>
      </c>
      <c r="J160" s="675">
        <f>E160*thuhut</f>
        <v>0</v>
      </c>
      <c r="K160" s="675"/>
      <c r="L160" s="675"/>
      <c r="M160" s="675">
        <f>ROUND(SUM(E160:L160)/26,0)</f>
        <v>164231</v>
      </c>
    </row>
    <row r="161" spans="1:13">
      <c r="A161" s="697"/>
      <c r="B161" s="697"/>
      <c r="C161" s="691"/>
      <c r="D161" s="698">
        <v>1.99</v>
      </c>
      <c r="E161" s="675">
        <f>D161*LTTV</f>
        <v>3980000</v>
      </c>
      <c r="F161" s="675">
        <f>$F$10</f>
        <v>210000</v>
      </c>
      <c r="G161" s="675">
        <f>E161*luongphu</f>
        <v>477600</v>
      </c>
      <c r="H161" s="675">
        <f>E161*khoantructiep</f>
        <v>159200</v>
      </c>
      <c r="I161" s="675">
        <f>E161*KhongOndinhSX</f>
        <v>0</v>
      </c>
      <c r="J161" s="675">
        <f>E161*thuhut</f>
        <v>0</v>
      </c>
      <c r="K161" s="675"/>
      <c r="L161" s="675"/>
      <c r="M161" s="675">
        <f>ROUND(SUM(E161:L161)/26,0)</f>
        <v>185646</v>
      </c>
    </row>
    <row r="162" spans="1:13">
      <c r="A162" s="697"/>
      <c r="B162" s="697"/>
      <c r="C162" s="691"/>
      <c r="D162" s="698">
        <v>2.35</v>
      </c>
      <c r="E162" s="675">
        <f>D162*LTTV</f>
        <v>4700000</v>
      </c>
      <c r="F162" s="675">
        <f>$F$10</f>
        <v>210000</v>
      </c>
      <c r="G162" s="675">
        <f>E162*luongphu</f>
        <v>564000</v>
      </c>
      <c r="H162" s="675">
        <f>E162*khoantructiep</f>
        <v>188000</v>
      </c>
      <c r="I162" s="675">
        <f>E162*KhongOndinhSX</f>
        <v>0</v>
      </c>
      <c r="J162" s="675">
        <f>E162*thuhut</f>
        <v>0</v>
      </c>
      <c r="K162" s="675"/>
      <c r="L162" s="675"/>
      <c r="M162" s="675">
        <f>ROUND(SUM(E162:L162)/26,0)</f>
        <v>217769</v>
      </c>
    </row>
    <row r="163" spans="1:13">
      <c r="A163" s="697"/>
      <c r="B163" s="697"/>
      <c r="C163" s="691"/>
      <c r="D163" s="698">
        <v>2.66</v>
      </c>
      <c r="E163" s="675">
        <f>D163*LTTV</f>
        <v>5320000</v>
      </c>
      <c r="F163" s="675">
        <f>$F$10</f>
        <v>210000</v>
      </c>
      <c r="G163" s="675">
        <f>E163*luongphu</f>
        <v>638400</v>
      </c>
      <c r="H163" s="675">
        <f>E163*khoantructiep</f>
        <v>212800</v>
      </c>
      <c r="I163" s="675">
        <f>E163*KhongOndinhSX</f>
        <v>0</v>
      </c>
      <c r="J163" s="675">
        <f>E163*thuhut</f>
        <v>0</v>
      </c>
      <c r="K163" s="675"/>
      <c r="L163" s="675"/>
      <c r="M163" s="675">
        <f>ROUND(SUM(E163:L163)/26,0)</f>
        <v>245431</v>
      </c>
    </row>
    <row r="164" spans="1:13">
      <c r="A164" s="678" t="s">
        <v>445</v>
      </c>
      <c r="B164" s="678"/>
      <c r="C164" s="685"/>
      <c r="D164" s="685"/>
      <c r="E164" s="686"/>
      <c r="F164" s="686"/>
      <c r="G164" s="686"/>
      <c r="H164" s="686"/>
      <c r="I164" s="686"/>
      <c r="J164" s="686"/>
      <c r="K164" s="686"/>
      <c r="L164" s="686"/>
      <c r="M164" s="675"/>
    </row>
    <row r="165" spans="1:13">
      <c r="A165" s="697"/>
      <c r="B165" s="697"/>
      <c r="C165" s="691"/>
      <c r="D165" s="698">
        <v>1.93</v>
      </c>
      <c r="E165" s="675">
        <f>D165*LTTV</f>
        <v>3860000</v>
      </c>
      <c r="F165" s="675">
        <f>$F$10</f>
        <v>210000</v>
      </c>
      <c r="G165" s="675">
        <f>E165*luongphu</f>
        <v>463200</v>
      </c>
      <c r="H165" s="675">
        <f>E165*khoantructiep</f>
        <v>154400</v>
      </c>
      <c r="I165" s="675">
        <f>E165*KhongOndinhSX</f>
        <v>0</v>
      </c>
      <c r="J165" s="675">
        <f>E165*thuhut</f>
        <v>0</v>
      </c>
      <c r="K165" s="675"/>
      <c r="L165" s="675"/>
      <c r="M165" s="675">
        <f>ROUND(SUM(E165:L165)/26,0)</f>
        <v>180292</v>
      </c>
    </row>
    <row r="166" spans="1:13">
      <c r="A166" s="697"/>
      <c r="B166" s="697"/>
      <c r="C166" s="691"/>
      <c r="D166" s="698">
        <v>2.38</v>
      </c>
      <c r="E166" s="675">
        <f>D166*LTTV</f>
        <v>4760000</v>
      </c>
      <c r="F166" s="675">
        <f>$F$10</f>
        <v>210000</v>
      </c>
      <c r="G166" s="675">
        <f>E166*luongphu</f>
        <v>571200</v>
      </c>
      <c r="H166" s="675">
        <f>E166*khoantructiep</f>
        <v>190400</v>
      </c>
      <c r="I166" s="675">
        <f>E166*KhongOndinhSX</f>
        <v>0</v>
      </c>
      <c r="J166" s="675">
        <f>E166*thuhut</f>
        <v>0</v>
      </c>
      <c r="K166" s="675"/>
      <c r="L166" s="675"/>
      <c r="M166" s="675">
        <f>ROUND(SUM(E166:L166)/26,0)</f>
        <v>220446</v>
      </c>
    </row>
    <row r="167" spans="1:13">
      <c r="A167" s="697"/>
      <c r="B167" s="697"/>
      <c r="C167" s="691"/>
      <c r="D167" s="698">
        <v>2.74</v>
      </c>
      <c r="E167" s="675">
        <f>D167*LTTV</f>
        <v>5480000</v>
      </c>
      <c r="F167" s="675">
        <f>$F$10</f>
        <v>210000</v>
      </c>
      <c r="G167" s="675">
        <f>E167*luongphu</f>
        <v>657600</v>
      </c>
      <c r="H167" s="675">
        <f>E167*khoantructiep</f>
        <v>219200</v>
      </c>
      <c r="I167" s="675">
        <f>E167*KhongOndinhSX</f>
        <v>0</v>
      </c>
      <c r="J167" s="675">
        <f>E167*thuhut</f>
        <v>0</v>
      </c>
      <c r="K167" s="675"/>
      <c r="L167" s="675"/>
      <c r="M167" s="675">
        <f>ROUND(SUM(E167:L167)/26,0)</f>
        <v>252569</v>
      </c>
    </row>
    <row r="168" spans="1:13">
      <c r="A168" s="697"/>
      <c r="B168" s="697"/>
      <c r="C168" s="691"/>
      <c r="D168" s="698">
        <v>3.15</v>
      </c>
      <c r="E168" s="675">
        <f>D168*LTTV</f>
        <v>6300000</v>
      </c>
      <c r="F168" s="675">
        <f>$F$10</f>
        <v>210000</v>
      </c>
      <c r="G168" s="675">
        <f>E168*luongphu</f>
        <v>756000</v>
      </c>
      <c r="H168" s="675">
        <f>E168*khoantructiep</f>
        <v>252000</v>
      </c>
      <c r="I168" s="675">
        <f>E168*KhongOndinhSX</f>
        <v>0</v>
      </c>
      <c r="J168" s="675">
        <f>E168*thuhut</f>
        <v>0</v>
      </c>
      <c r="K168" s="675"/>
      <c r="L168" s="675"/>
      <c r="M168" s="675">
        <f>ROUND(SUM(E168:L168)/26,0)</f>
        <v>289154</v>
      </c>
    </row>
    <row r="169" spans="1:13">
      <c r="A169" s="692" t="s">
        <v>446</v>
      </c>
      <c r="B169" s="693"/>
      <c r="C169" s="685"/>
      <c r="D169" s="685"/>
      <c r="E169" s="686"/>
      <c r="F169" s="686"/>
      <c r="G169" s="686"/>
      <c r="H169" s="686"/>
      <c r="I169" s="686"/>
      <c r="J169" s="686"/>
      <c r="K169" s="686"/>
      <c r="L169" s="686"/>
      <c r="M169" s="675"/>
    </row>
    <row r="170" spans="1:13">
      <c r="A170" s="699" t="s">
        <v>441</v>
      </c>
      <c r="B170" s="678"/>
      <c r="C170" s="685"/>
      <c r="D170" s="685"/>
      <c r="E170" s="686"/>
      <c r="F170" s="686"/>
      <c r="G170" s="686"/>
      <c r="H170" s="686"/>
      <c r="I170" s="686"/>
      <c r="J170" s="686"/>
      <c r="K170" s="686"/>
      <c r="L170" s="686"/>
      <c r="M170" s="675"/>
    </row>
    <row r="171" spans="1:13">
      <c r="A171" s="699" t="s">
        <v>447</v>
      </c>
      <c r="B171" s="678"/>
      <c r="C171" s="685"/>
      <c r="D171" s="685"/>
      <c r="E171" s="686"/>
      <c r="F171" s="686"/>
      <c r="G171" s="686"/>
      <c r="H171" s="686"/>
      <c r="I171" s="686"/>
      <c r="J171" s="686"/>
      <c r="K171" s="686"/>
      <c r="L171" s="686"/>
      <c r="M171" s="675"/>
    </row>
    <row r="172" spans="1:13">
      <c r="A172" s="697"/>
      <c r="B172" s="697"/>
      <c r="C172" s="691"/>
      <c r="D172" s="698">
        <v>1.93</v>
      </c>
      <c r="E172" s="675">
        <f>D172*LTTV</f>
        <v>3860000</v>
      </c>
      <c r="F172" s="675">
        <f>$F$10</f>
        <v>210000</v>
      </c>
      <c r="G172" s="675">
        <f>E172*luongphu</f>
        <v>463200</v>
      </c>
      <c r="H172" s="675">
        <f>E172*khoantructiep</f>
        <v>154400</v>
      </c>
      <c r="I172" s="675">
        <f>E172*KhongOndinhSX</f>
        <v>0</v>
      </c>
      <c r="J172" s="675">
        <f>E172*thuhut</f>
        <v>0</v>
      </c>
      <c r="K172" s="675"/>
      <c r="L172" s="675"/>
      <c r="M172" s="675">
        <f>ROUND(SUM(E172:L172)/26,0)</f>
        <v>180292</v>
      </c>
    </row>
    <row r="173" spans="1:13">
      <c r="A173" s="697"/>
      <c r="B173" s="697"/>
      <c r="C173" s="691"/>
      <c r="D173" s="698">
        <v>2.1800000000000002</v>
      </c>
      <c r="E173" s="675">
        <f>D173*LTTV</f>
        <v>4360000</v>
      </c>
      <c r="F173" s="675">
        <f>$F$10</f>
        <v>210000</v>
      </c>
      <c r="G173" s="675">
        <f>E173*luongphu</f>
        <v>523200</v>
      </c>
      <c r="H173" s="675">
        <f>E173*khoantructiep</f>
        <v>174400</v>
      </c>
      <c r="I173" s="675">
        <f>E173*KhongOndinhSX</f>
        <v>0</v>
      </c>
      <c r="J173" s="675">
        <f>E173*thuhut</f>
        <v>0</v>
      </c>
      <c r="K173" s="675"/>
      <c r="L173" s="675"/>
      <c r="M173" s="675">
        <f>ROUND(SUM(E173:L173)/26,0)</f>
        <v>202600</v>
      </c>
    </row>
    <row r="174" spans="1:13">
      <c r="A174" s="697"/>
      <c r="B174" s="697"/>
      <c r="C174" s="691"/>
      <c r="D174" s="698">
        <v>2.5099999999999998</v>
      </c>
      <c r="E174" s="675">
        <f>D174*LTTV</f>
        <v>5020000</v>
      </c>
      <c r="F174" s="675">
        <f>$F$10</f>
        <v>210000</v>
      </c>
      <c r="G174" s="675">
        <f>E174*luongphu</f>
        <v>602400</v>
      </c>
      <c r="H174" s="675">
        <f>E174*khoantructiep</f>
        <v>200800</v>
      </c>
      <c r="I174" s="675">
        <f>E174*KhongOndinhSX</f>
        <v>0</v>
      </c>
      <c r="J174" s="675">
        <f>E174*thuhut</f>
        <v>0</v>
      </c>
      <c r="K174" s="675"/>
      <c r="L174" s="675"/>
      <c r="M174" s="675">
        <f>ROUND(SUM(E174:L174)/26,0)</f>
        <v>232046</v>
      </c>
    </row>
    <row r="175" spans="1:13">
      <c r="A175" s="697"/>
      <c r="B175" s="697"/>
      <c r="C175" s="691"/>
      <c r="D175" s="698">
        <v>2.83</v>
      </c>
      <c r="E175" s="675">
        <f>D175*LTTV</f>
        <v>5660000</v>
      </c>
      <c r="F175" s="675">
        <f>$F$10</f>
        <v>210000</v>
      </c>
      <c r="G175" s="675">
        <f>E175*luongphu</f>
        <v>679200</v>
      </c>
      <c r="H175" s="675">
        <f>E175*khoantructiep</f>
        <v>226400</v>
      </c>
      <c r="I175" s="675">
        <f>E175*KhongOndinhSX</f>
        <v>0</v>
      </c>
      <c r="J175" s="675">
        <f>E175*thuhut</f>
        <v>0</v>
      </c>
      <c r="K175" s="675"/>
      <c r="L175" s="675"/>
      <c r="M175" s="675">
        <f>ROUND(SUM(E175:L175)/26,0)</f>
        <v>260600</v>
      </c>
    </row>
    <row r="176" spans="1:13">
      <c r="A176" s="678" t="s">
        <v>448</v>
      </c>
      <c r="B176" s="678"/>
      <c r="C176" s="685"/>
      <c r="D176" s="685"/>
      <c r="E176" s="686"/>
      <c r="F176" s="686"/>
      <c r="G176" s="686"/>
      <c r="H176" s="686"/>
      <c r="I176" s="686"/>
      <c r="J176" s="686"/>
      <c r="K176" s="686"/>
      <c r="L176" s="686"/>
      <c r="M176" s="675"/>
    </row>
    <row r="177" spans="1:13">
      <c r="A177" s="697"/>
      <c r="B177" s="697"/>
      <c r="C177" s="691"/>
      <c r="D177" s="698">
        <v>2.12</v>
      </c>
      <c r="E177" s="675">
        <f>D177*LTTV</f>
        <v>4240000</v>
      </c>
      <c r="F177" s="675">
        <f>$F$10</f>
        <v>210000</v>
      </c>
      <c r="G177" s="675">
        <f>E177*luongphu</f>
        <v>508800</v>
      </c>
      <c r="H177" s="675">
        <f>E177*khoantructiep</f>
        <v>169600</v>
      </c>
      <c r="I177" s="675">
        <f>E177*KhongOndinhSX</f>
        <v>0</v>
      </c>
      <c r="J177" s="675">
        <f>E177*thuhut</f>
        <v>0</v>
      </c>
      <c r="K177" s="675"/>
      <c r="L177" s="675"/>
      <c r="M177" s="675">
        <f>ROUND(SUM(E177:L177)/26,0)</f>
        <v>197246</v>
      </c>
    </row>
    <row r="178" spans="1:13">
      <c r="A178" s="697"/>
      <c r="B178" s="697"/>
      <c r="C178" s="691"/>
      <c r="D178" s="698">
        <v>2.39</v>
      </c>
      <c r="E178" s="675">
        <f>D178*LTTV</f>
        <v>4780000</v>
      </c>
      <c r="F178" s="675">
        <f>$F$10</f>
        <v>210000</v>
      </c>
      <c r="G178" s="675">
        <f>E178*luongphu</f>
        <v>573600</v>
      </c>
      <c r="H178" s="675">
        <f>E178*khoantructiep</f>
        <v>191200</v>
      </c>
      <c r="I178" s="675">
        <f>E178*KhongOndinhSX</f>
        <v>0</v>
      </c>
      <c r="J178" s="675">
        <f>E178*thuhut</f>
        <v>0</v>
      </c>
      <c r="K178" s="675"/>
      <c r="L178" s="675"/>
      <c r="M178" s="675">
        <f>ROUND(SUM(E178:L178)/26,0)</f>
        <v>221338</v>
      </c>
    </row>
    <row r="179" spans="1:13">
      <c r="A179" s="697"/>
      <c r="B179" s="697"/>
      <c r="C179" s="691"/>
      <c r="D179" s="698">
        <v>2.76</v>
      </c>
      <c r="E179" s="675">
        <f>D179*LTTV</f>
        <v>5520000</v>
      </c>
      <c r="F179" s="675">
        <f>$F$10</f>
        <v>210000</v>
      </c>
      <c r="G179" s="675">
        <f>E179*luongphu</f>
        <v>662400</v>
      </c>
      <c r="H179" s="675">
        <f>E179*khoantructiep</f>
        <v>220800</v>
      </c>
      <c r="I179" s="675">
        <f>E179*KhongOndinhSX</f>
        <v>0</v>
      </c>
      <c r="J179" s="675">
        <f>E179*thuhut</f>
        <v>0</v>
      </c>
      <c r="K179" s="675"/>
      <c r="L179" s="675"/>
      <c r="M179" s="675">
        <f>ROUND(SUM(E179:L179)/26,0)</f>
        <v>254354</v>
      </c>
    </row>
    <row r="180" spans="1:13">
      <c r="A180" s="697"/>
      <c r="B180" s="697"/>
      <c r="C180" s="691"/>
      <c r="D180" s="698">
        <v>3.11</v>
      </c>
      <c r="E180" s="675">
        <f>D180*LTTV</f>
        <v>6220000</v>
      </c>
      <c r="F180" s="675">
        <f>$F$10</f>
        <v>210000</v>
      </c>
      <c r="G180" s="675">
        <f>E180*luongphu</f>
        <v>746400</v>
      </c>
      <c r="H180" s="675">
        <f>E180*khoantructiep</f>
        <v>248800</v>
      </c>
      <c r="I180" s="675">
        <f>E180*KhongOndinhSX</f>
        <v>0</v>
      </c>
      <c r="J180" s="675">
        <f>E180*thuhut</f>
        <v>0</v>
      </c>
      <c r="K180" s="675"/>
      <c r="L180" s="675"/>
      <c r="M180" s="675">
        <f>ROUND(SUM(E180:L180)/26,0)</f>
        <v>285585</v>
      </c>
    </row>
    <row r="181" spans="1:13">
      <c r="A181" s="678" t="s">
        <v>449</v>
      </c>
      <c r="B181" s="678"/>
      <c r="C181" s="685"/>
      <c r="D181" s="685"/>
      <c r="E181" s="686"/>
      <c r="F181" s="686"/>
      <c r="G181" s="686"/>
      <c r="H181" s="686"/>
      <c r="I181" s="686"/>
      <c r="J181" s="686"/>
      <c r="K181" s="686"/>
      <c r="L181" s="686"/>
      <c r="M181" s="675"/>
    </row>
    <row r="182" spans="1:13">
      <c r="A182" s="678" t="s">
        <v>447</v>
      </c>
      <c r="B182" s="678"/>
      <c r="C182" s="685"/>
      <c r="D182" s="685"/>
      <c r="E182" s="686"/>
      <c r="F182" s="686"/>
      <c r="G182" s="686"/>
      <c r="H182" s="686"/>
      <c r="I182" s="686"/>
      <c r="J182" s="686"/>
      <c r="K182" s="686"/>
      <c r="L182" s="686"/>
      <c r="M182" s="675"/>
    </row>
    <row r="183" spans="1:13">
      <c r="A183" s="697"/>
      <c r="B183" s="697"/>
      <c r="C183" s="691"/>
      <c r="D183" s="698">
        <v>2.0499999999999998</v>
      </c>
      <c r="E183" s="675">
        <f>D183*LTTV</f>
        <v>4099999.9999999995</v>
      </c>
      <c r="F183" s="675">
        <f>$F$10</f>
        <v>210000</v>
      </c>
      <c r="G183" s="675">
        <f>E183*luongphu</f>
        <v>491999.99999999994</v>
      </c>
      <c r="H183" s="675">
        <f>E183*khoantructiep</f>
        <v>163999.99999999997</v>
      </c>
      <c r="I183" s="675">
        <f>E183*KhongOndinhSX</f>
        <v>0</v>
      </c>
      <c r="J183" s="675">
        <f>E183*thuhut</f>
        <v>0</v>
      </c>
      <c r="K183" s="675"/>
      <c r="L183" s="675"/>
      <c r="M183" s="675">
        <f>ROUND(SUM(E183:L183)/26,0)</f>
        <v>191000</v>
      </c>
    </row>
    <row r="184" spans="1:13">
      <c r="A184" s="697"/>
      <c r="B184" s="697"/>
      <c r="C184" s="691"/>
      <c r="D184" s="698">
        <v>2.35</v>
      </c>
      <c r="E184" s="675">
        <f>D184*LTTV</f>
        <v>4700000</v>
      </c>
      <c r="F184" s="675">
        <f>$F$10</f>
        <v>210000</v>
      </c>
      <c r="G184" s="675">
        <f>E184*luongphu</f>
        <v>564000</v>
      </c>
      <c r="H184" s="675">
        <f>E184*khoantructiep</f>
        <v>188000</v>
      </c>
      <c r="I184" s="675">
        <f>E184*KhongOndinhSX</f>
        <v>0</v>
      </c>
      <c r="J184" s="675">
        <f>E184*thuhut</f>
        <v>0</v>
      </c>
      <c r="K184" s="675"/>
      <c r="L184" s="675"/>
      <c r="M184" s="675">
        <f>ROUND(SUM(E184:L184)/26,0)</f>
        <v>217769</v>
      </c>
    </row>
    <row r="185" spans="1:13">
      <c r="A185" s="697"/>
      <c r="B185" s="697"/>
      <c r="C185" s="691"/>
      <c r="D185" s="698">
        <v>2.66</v>
      </c>
      <c r="E185" s="675">
        <f>D185*LTTV</f>
        <v>5320000</v>
      </c>
      <c r="F185" s="675">
        <f>$F$10</f>
        <v>210000</v>
      </c>
      <c r="G185" s="675">
        <f>E185*luongphu</f>
        <v>638400</v>
      </c>
      <c r="H185" s="675">
        <f>E185*khoantructiep</f>
        <v>212800</v>
      </c>
      <c r="I185" s="675">
        <f>E185*KhongOndinhSX</f>
        <v>0</v>
      </c>
      <c r="J185" s="675">
        <f>E185*thuhut</f>
        <v>0</v>
      </c>
      <c r="K185" s="675"/>
      <c r="L185" s="675"/>
      <c r="M185" s="675">
        <f>ROUND(SUM(E185:L185)/26,0)</f>
        <v>245431</v>
      </c>
    </row>
    <row r="186" spans="1:13">
      <c r="A186" s="697"/>
      <c r="B186" s="697"/>
      <c r="C186" s="691"/>
      <c r="D186" s="698">
        <v>2.99</v>
      </c>
      <c r="E186" s="675">
        <f>D186*LTTV</f>
        <v>5980000</v>
      </c>
      <c r="F186" s="675">
        <f>$F$10</f>
        <v>210000</v>
      </c>
      <c r="G186" s="675">
        <f>E186*luongphu</f>
        <v>717600</v>
      </c>
      <c r="H186" s="675">
        <f>E186*khoantructiep</f>
        <v>239200</v>
      </c>
      <c r="I186" s="675">
        <f>E186*KhongOndinhSX</f>
        <v>0</v>
      </c>
      <c r="J186" s="675">
        <f>E186*thuhut</f>
        <v>0</v>
      </c>
      <c r="K186" s="675"/>
      <c r="L186" s="675"/>
      <c r="M186" s="675">
        <f>ROUND(SUM(E186:L186)/26,0)</f>
        <v>274877</v>
      </c>
    </row>
    <row r="187" spans="1:13">
      <c r="A187" s="678" t="s">
        <v>448</v>
      </c>
      <c r="B187" s="678"/>
      <c r="C187" s="685"/>
      <c r="D187" s="685"/>
      <c r="E187" s="686"/>
      <c r="F187" s="686"/>
      <c r="G187" s="686"/>
      <c r="H187" s="686"/>
      <c r="I187" s="686"/>
      <c r="J187" s="686"/>
      <c r="K187" s="686"/>
      <c r="L187" s="686"/>
      <c r="M187" s="675"/>
    </row>
    <row r="188" spans="1:13">
      <c r="A188" s="697"/>
      <c r="B188" s="697"/>
      <c r="C188" s="691"/>
      <c r="D188" s="698">
        <v>2.25</v>
      </c>
      <c r="E188" s="675">
        <f>D188*LTTV</f>
        <v>4500000</v>
      </c>
      <c r="F188" s="675">
        <f>$F$10</f>
        <v>210000</v>
      </c>
      <c r="G188" s="675">
        <f>E188*luongphu</f>
        <v>540000</v>
      </c>
      <c r="H188" s="675">
        <f>E188*khoantructiep</f>
        <v>180000</v>
      </c>
      <c r="I188" s="675">
        <f>E188*KhongOndinhSX</f>
        <v>0</v>
      </c>
      <c r="J188" s="675">
        <f>E188*thuhut</f>
        <v>0</v>
      </c>
      <c r="K188" s="675"/>
      <c r="L188" s="675"/>
      <c r="M188" s="675">
        <f>ROUND(SUM(E188:L188)/26,0)</f>
        <v>208846</v>
      </c>
    </row>
    <row r="189" spans="1:13">
      <c r="A189" s="697"/>
      <c r="B189" s="697"/>
      <c r="C189" s="691"/>
      <c r="D189" s="698">
        <v>2.58</v>
      </c>
      <c r="E189" s="675">
        <f>D189*LTTV</f>
        <v>5160000</v>
      </c>
      <c r="F189" s="675">
        <f>$F$10</f>
        <v>210000</v>
      </c>
      <c r="G189" s="675">
        <f>E189*luongphu</f>
        <v>619200</v>
      </c>
      <c r="H189" s="675">
        <f>E189*khoantructiep</f>
        <v>206400</v>
      </c>
      <c r="I189" s="675">
        <f>E189*KhongOndinhSX</f>
        <v>0</v>
      </c>
      <c r="J189" s="675">
        <f>E189*thuhut</f>
        <v>0</v>
      </c>
      <c r="K189" s="675"/>
      <c r="L189" s="675"/>
      <c r="M189" s="675">
        <f>ROUND(SUM(E189:L189)/26,0)</f>
        <v>238292</v>
      </c>
    </row>
    <row r="190" spans="1:13">
      <c r="A190" s="697"/>
      <c r="B190" s="697"/>
      <c r="C190" s="691"/>
      <c r="D190" s="698">
        <v>2.92</v>
      </c>
      <c r="E190" s="675">
        <f>D190*LTTV</f>
        <v>5840000</v>
      </c>
      <c r="F190" s="675">
        <f>$F$10</f>
        <v>210000</v>
      </c>
      <c r="G190" s="675">
        <f>E190*luongphu</f>
        <v>700800</v>
      </c>
      <c r="H190" s="675">
        <f>E190*khoantructiep</f>
        <v>233600</v>
      </c>
      <c r="I190" s="675">
        <f>E190*KhongOndinhSX</f>
        <v>0</v>
      </c>
      <c r="J190" s="675">
        <f>E190*thuhut</f>
        <v>0</v>
      </c>
      <c r="K190" s="675"/>
      <c r="L190" s="675"/>
      <c r="M190" s="675">
        <f>ROUND(SUM(E190:L190)/26,0)</f>
        <v>268631</v>
      </c>
    </row>
    <row r="191" spans="1:13">
      <c r="A191" s="697"/>
      <c r="B191" s="697"/>
      <c r="C191" s="691"/>
      <c r="D191" s="698">
        <v>3.28</v>
      </c>
      <c r="E191" s="675">
        <f>D191*LTTV</f>
        <v>6560000</v>
      </c>
      <c r="F191" s="675">
        <f>$F$10</f>
        <v>210000</v>
      </c>
      <c r="G191" s="675">
        <f>E191*luongphu</f>
        <v>787200</v>
      </c>
      <c r="H191" s="675">
        <f>E191*khoantructiep</f>
        <v>262400</v>
      </c>
      <c r="I191" s="675">
        <f>E191*KhongOndinhSX</f>
        <v>0</v>
      </c>
      <c r="J191" s="675">
        <f>E191*thuhut</f>
        <v>0</v>
      </c>
      <c r="K191" s="675"/>
      <c r="L191" s="675"/>
      <c r="M191" s="675">
        <f>ROUND(SUM(E191:L191)/26,0)</f>
        <v>300754</v>
      </c>
    </row>
    <row r="192" spans="1:13">
      <c r="A192" s="678" t="s">
        <v>450</v>
      </c>
      <c r="B192" s="678"/>
      <c r="C192" s="685"/>
      <c r="D192" s="685"/>
      <c r="E192" s="686"/>
      <c r="F192" s="686"/>
      <c r="G192" s="686"/>
      <c r="H192" s="686"/>
      <c r="I192" s="686"/>
      <c r="J192" s="686"/>
      <c r="K192" s="686"/>
      <c r="L192" s="686"/>
      <c r="M192" s="675"/>
    </row>
    <row r="193" spans="1:13">
      <c r="A193" s="697"/>
      <c r="B193" s="697"/>
      <c r="C193" s="691"/>
      <c r="D193" s="698">
        <v>1.55</v>
      </c>
      <c r="E193" s="675">
        <f>D193*LTTV</f>
        <v>3100000</v>
      </c>
      <c r="F193" s="675">
        <f>$F$10</f>
        <v>210000</v>
      </c>
      <c r="G193" s="675">
        <f>E193*luongphu</f>
        <v>372000</v>
      </c>
      <c r="H193" s="675">
        <f>E193*khoantructiep</f>
        <v>124000</v>
      </c>
      <c r="I193" s="675">
        <f>E193*KhongOndinhSX</f>
        <v>0</v>
      </c>
      <c r="J193" s="675">
        <f>E193*thuhut</f>
        <v>0</v>
      </c>
      <c r="K193" s="675"/>
      <c r="L193" s="675"/>
      <c r="M193" s="675">
        <f>ROUND(SUM(E193:L193)/26,0)</f>
        <v>146385</v>
      </c>
    </row>
    <row r="194" spans="1:13">
      <c r="A194" s="697"/>
      <c r="B194" s="697"/>
      <c r="C194" s="691"/>
      <c r="D194" s="698">
        <v>1.75</v>
      </c>
      <c r="E194" s="675">
        <f>D194*LTTV</f>
        <v>3500000</v>
      </c>
      <c r="F194" s="675">
        <f>$F$10</f>
        <v>210000</v>
      </c>
      <c r="G194" s="675">
        <f>E194*luongphu</f>
        <v>420000</v>
      </c>
      <c r="H194" s="675">
        <f>E194*khoantructiep</f>
        <v>140000</v>
      </c>
      <c r="I194" s="675">
        <f>E194*KhongOndinhSX</f>
        <v>0</v>
      </c>
      <c r="J194" s="675">
        <f>E194*thuhut</f>
        <v>0</v>
      </c>
      <c r="K194" s="675"/>
      <c r="L194" s="675"/>
      <c r="M194" s="675">
        <f>ROUND(SUM(E194:L194)/26,0)</f>
        <v>164231</v>
      </c>
    </row>
    <row r="195" spans="1:13">
      <c r="A195" s="697"/>
      <c r="B195" s="697"/>
      <c r="C195" s="691"/>
      <c r="D195" s="698">
        <v>2.0499999999999998</v>
      </c>
      <c r="E195" s="675">
        <f>D195*LTTV</f>
        <v>4099999.9999999995</v>
      </c>
      <c r="F195" s="675">
        <f>$F$10</f>
        <v>210000</v>
      </c>
      <c r="G195" s="675">
        <f>E195*luongphu</f>
        <v>491999.99999999994</v>
      </c>
      <c r="H195" s="675">
        <f>E195*khoantructiep</f>
        <v>163999.99999999997</v>
      </c>
      <c r="I195" s="675">
        <f>E195*KhongOndinhSX</f>
        <v>0</v>
      </c>
      <c r="J195" s="675">
        <f>E195*thuhut</f>
        <v>0</v>
      </c>
      <c r="K195" s="675"/>
      <c r="L195" s="675"/>
      <c r="M195" s="675">
        <f>ROUND(SUM(E195:L195)/26,0)</f>
        <v>191000</v>
      </c>
    </row>
    <row r="196" spans="1:13">
      <c r="A196" s="697"/>
      <c r="B196" s="697"/>
      <c r="C196" s="691"/>
      <c r="D196" s="698">
        <v>2.35</v>
      </c>
      <c r="E196" s="675">
        <f>D196*LTTV</f>
        <v>4700000</v>
      </c>
      <c r="F196" s="675">
        <f>$F$10</f>
        <v>210000</v>
      </c>
      <c r="G196" s="675">
        <f>E196*luongphu</f>
        <v>564000</v>
      </c>
      <c r="H196" s="675">
        <f>E196*khoantructiep</f>
        <v>188000</v>
      </c>
      <c r="I196" s="675">
        <f>E196*KhongOndinhSX</f>
        <v>0</v>
      </c>
      <c r="J196" s="675">
        <f>E196*thuhut</f>
        <v>0</v>
      </c>
      <c r="K196" s="675"/>
      <c r="L196" s="675"/>
      <c r="M196" s="675">
        <f>ROUND(SUM(E196:L196)/26,0)</f>
        <v>217769</v>
      </c>
    </row>
    <row r="197" spans="1:13">
      <c r="A197" s="685"/>
      <c r="B197" s="685"/>
      <c r="C197" s="685"/>
      <c r="D197" s="685"/>
      <c r="E197" s="686"/>
      <c r="F197" s="686"/>
      <c r="G197" s="686"/>
      <c r="H197" s="686"/>
      <c r="I197" s="686"/>
      <c r="J197" s="686"/>
      <c r="K197" s="686"/>
      <c r="L197" s="686"/>
      <c r="M197" s="686"/>
    </row>
    <row r="198" spans="1:13">
      <c r="A198" s="692" t="s">
        <v>609</v>
      </c>
      <c r="B198" s="692"/>
      <c r="C198" s="685"/>
      <c r="D198" s="685"/>
      <c r="E198" s="695"/>
      <c r="F198" s="695"/>
      <c r="G198" s="695"/>
      <c r="H198" s="686"/>
      <c r="I198" s="686"/>
      <c r="J198" s="686"/>
      <c r="K198" s="686"/>
      <c r="L198" s="686"/>
      <c r="M198" s="686"/>
    </row>
    <row r="199" spans="1:13">
      <c r="A199" s="685" t="s">
        <v>451</v>
      </c>
      <c r="B199" s="685"/>
      <c r="C199" s="685"/>
      <c r="D199" s="685"/>
      <c r="E199" s="686"/>
      <c r="F199" s="686"/>
      <c r="G199" s="686"/>
      <c r="H199" s="686"/>
      <c r="I199" s="686"/>
      <c r="J199" s="686"/>
      <c r="K199" s="686"/>
      <c r="L199" s="686"/>
      <c r="M199" s="686"/>
    </row>
    <row r="200" spans="1:13">
      <c r="A200" s="685" t="s">
        <v>452</v>
      </c>
      <c r="B200" s="685"/>
      <c r="C200" s="685"/>
      <c r="D200" s="685"/>
      <c r="E200" s="686"/>
      <c r="F200" s="686"/>
      <c r="G200" s="686"/>
      <c r="H200" s="686"/>
      <c r="I200" s="686"/>
      <c r="J200" s="686"/>
      <c r="K200" s="686"/>
      <c r="L200" s="686"/>
      <c r="M200" s="686"/>
    </row>
    <row r="201" spans="1:13">
      <c r="A201" s="685" t="s">
        <v>453</v>
      </c>
      <c r="B201" s="685"/>
      <c r="C201" s="685"/>
      <c r="D201" s="685"/>
      <c r="E201" s="686"/>
      <c r="F201" s="686"/>
      <c r="G201" s="686"/>
      <c r="H201" s="686"/>
      <c r="I201" s="686"/>
      <c r="J201" s="686"/>
      <c r="K201" s="686"/>
      <c r="L201" s="686"/>
      <c r="M201" s="686"/>
    </row>
    <row r="202" spans="1:13" ht="14.1" customHeight="1">
      <c r="A202" s="700" t="s">
        <v>454</v>
      </c>
      <c r="B202" s="700"/>
      <c r="C202" s="701"/>
      <c r="D202" s="702"/>
      <c r="E202" s="703"/>
      <c r="F202" s="703"/>
      <c r="G202" s="703"/>
      <c r="H202" s="703"/>
      <c r="I202" s="703"/>
      <c r="J202" s="703"/>
      <c r="K202" s="703"/>
      <c r="L202" s="703"/>
      <c r="M202" s="703"/>
    </row>
    <row r="203" spans="1:13">
      <c r="A203" s="678" t="s">
        <v>455</v>
      </c>
      <c r="B203" s="678"/>
      <c r="C203" s="694"/>
      <c r="D203" s="694"/>
      <c r="E203" s="695"/>
      <c r="F203" s="695"/>
      <c r="G203" s="695"/>
      <c r="H203" s="695"/>
      <c r="I203" s="695"/>
      <c r="J203" s="695"/>
      <c r="K203" s="695"/>
      <c r="L203" s="695"/>
      <c r="M203" s="695"/>
    </row>
    <row r="204" spans="1:13">
      <c r="A204" s="391" t="s">
        <v>456</v>
      </c>
      <c r="B204" s="678"/>
      <c r="C204" s="685"/>
      <c r="D204" s="685"/>
      <c r="E204" s="686"/>
      <c r="F204" s="686"/>
      <c r="G204" s="686"/>
      <c r="H204" s="686"/>
      <c r="I204" s="686"/>
      <c r="J204" s="686"/>
      <c r="K204" s="686"/>
      <c r="L204" s="686"/>
      <c r="M204" s="686"/>
    </row>
    <row r="205" spans="1:13">
      <c r="A205" s="678" t="s">
        <v>457</v>
      </c>
      <c r="B205" s="678"/>
      <c r="C205" s="685"/>
      <c r="D205" s="685"/>
      <c r="E205" s="686"/>
      <c r="F205" s="686"/>
      <c r="G205" s="686"/>
      <c r="H205" s="686"/>
      <c r="I205" s="686"/>
      <c r="J205" s="686"/>
      <c r="K205" s="686"/>
      <c r="L205" s="686"/>
      <c r="M205" s="686"/>
    </row>
    <row r="206" spans="1:13">
      <c r="A206" s="697"/>
      <c r="B206" s="697"/>
      <c r="C206" s="704" t="s">
        <v>372</v>
      </c>
      <c r="D206" s="705">
        <v>2.81</v>
      </c>
      <c r="E206" s="675">
        <f t="shared" ref="E206:E213" si="39">D206*LTTV</f>
        <v>5620000</v>
      </c>
      <c r="F206" s="675">
        <f t="shared" ref="F206:F213" si="40">$F$10</f>
        <v>210000</v>
      </c>
      <c r="G206" s="675">
        <f t="shared" ref="G206:G213" si="41">E206*luongphu</f>
        <v>674400</v>
      </c>
      <c r="H206" s="675">
        <f t="shared" ref="H206:H213" si="42">E206*khoantructiep</f>
        <v>224800</v>
      </c>
      <c r="I206" s="675">
        <f t="shared" ref="I206:I213" si="43">E206*KhongOndinhSX</f>
        <v>0</v>
      </c>
      <c r="J206" s="675">
        <f t="shared" ref="J206:J213" si="44">E206*thuhut</f>
        <v>0</v>
      </c>
      <c r="K206" s="675"/>
      <c r="L206" s="675"/>
      <c r="M206" s="675">
        <f t="shared" ref="M206:M213" si="45">ROUND(SUM(E206:L206)/26,0)</f>
        <v>258815</v>
      </c>
    </row>
    <row r="207" spans="1:13" ht="18.75" customHeight="1">
      <c r="A207" s="697"/>
      <c r="B207" s="697"/>
      <c r="C207" s="704"/>
      <c r="D207" s="705">
        <v>2.99</v>
      </c>
      <c r="E207" s="675">
        <f t="shared" si="39"/>
        <v>5980000</v>
      </c>
      <c r="F207" s="675">
        <f t="shared" si="40"/>
        <v>210000</v>
      </c>
      <c r="G207" s="675">
        <f t="shared" si="41"/>
        <v>717600</v>
      </c>
      <c r="H207" s="675">
        <f t="shared" si="42"/>
        <v>239200</v>
      </c>
      <c r="I207" s="675">
        <f t="shared" si="43"/>
        <v>0</v>
      </c>
      <c r="J207" s="675">
        <f t="shared" si="44"/>
        <v>0</v>
      </c>
      <c r="K207" s="675"/>
      <c r="L207" s="675"/>
      <c r="M207" s="675">
        <f t="shared" si="45"/>
        <v>274877</v>
      </c>
    </row>
    <row r="208" spans="1:13" ht="27" customHeight="1">
      <c r="A208" s="697"/>
      <c r="B208" s="697"/>
      <c r="C208" s="704" t="s">
        <v>390</v>
      </c>
      <c r="D208" s="705">
        <v>3.73</v>
      </c>
      <c r="E208" s="675">
        <f t="shared" si="39"/>
        <v>7460000</v>
      </c>
      <c r="F208" s="675">
        <f t="shared" si="40"/>
        <v>210000</v>
      </c>
      <c r="G208" s="675">
        <f t="shared" si="41"/>
        <v>895200</v>
      </c>
      <c r="H208" s="675">
        <f t="shared" si="42"/>
        <v>298400</v>
      </c>
      <c r="I208" s="675">
        <f t="shared" si="43"/>
        <v>0</v>
      </c>
      <c r="J208" s="675">
        <f t="shared" si="44"/>
        <v>0</v>
      </c>
      <c r="K208" s="675"/>
      <c r="L208" s="675"/>
      <c r="M208" s="675">
        <f t="shared" si="45"/>
        <v>340908</v>
      </c>
    </row>
    <row r="209" spans="1:13">
      <c r="A209" s="697"/>
      <c r="B209" s="697"/>
      <c r="C209" s="704"/>
      <c r="D209" s="705">
        <v>3.91</v>
      </c>
      <c r="E209" s="675">
        <f t="shared" si="39"/>
        <v>7820000</v>
      </c>
      <c r="F209" s="675">
        <f t="shared" si="40"/>
        <v>210000</v>
      </c>
      <c r="G209" s="675">
        <f t="shared" si="41"/>
        <v>938400</v>
      </c>
      <c r="H209" s="675">
        <f t="shared" si="42"/>
        <v>312800</v>
      </c>
      <c r="I209" s="675">
        <f t="shared" si="43"/>
        <v>0</v>
      </c>
      <c r="J209" s="675">
        <f t="shared" si="44"/>
        <v>0</v>
      </c>
      <c r="K209" s="675"/>
      <c r="L209" s="675"/>
      <c r="M209" s="675">
        <f t="shared" si="45"/>
        <v>356969</v>
      </c>
    </row>
    <row r="210" spans="1:13">
      <c r="A210" s="697"/>
      <c r="B210" s="697"/>
      <c r="C210" s="766" t="s">
        <v>407</v>
      </c>
      <c r="D210" s="705">
        <v>4.1399999999999997</v>
      </c>
      <c r="E210" s="675">
        <f t="shared" si="39"/>
        <v>8279999.9999999991</v>
      </c>
      <c r="F210" s="675">
        <f t="shared" si="40"/>
        <v>210000</v>
      </c>
      <c r="G210" s="675">
        <f t="shared" si="41"/>
        <v>993599.99999999988</v>
      </c>
      <c r="H210" s="675">
        <f t="shared" si="42"/>
        <v>331199.99999999994</v>
      </c>
      <c r="I210" s="675">
        <f t="shared" si="43"/>
        <v>0</v>
      </c>
      <c r="J210" s="675">
        <f t="shared" si="44"/>
        <v>0</v>
      </c>
      <c r="K210" s="675"/>
      <c r="L210" s="675"/>
      <c r="M210" s="675">
        <f t="shared" si="45"/>
        <v>377492</v>
      </c>
    </row>
    <row r="211" spans="1:13">
      <c r="A211" s="697"/>
      <c r="B211" s="697"/>
      <c r="C211" s="704"/>
      <c r="D211" s="705">
        <v>4.3600000000000003</v>
      </c>
      <c r="E211" s="675">
        <f t="shared" si="39"/>
        <v>8720000</v>
      </c>
      <c r="F211" s="675">
        <f t="shared" si="40"/>
        <v>210000</v>
      </c>
      <c r="G211" s="675">
        <f t="shared" si="41"/>
        <v>1046400</v>
      </c>
      <c r="H211" s="675">
        <f t="shared" si="42"/>
        <v>348800</v>
      </c>
      <c r="I211" s="675">
        <f t="shared" si="43"/>
        <v>0</v>
      </c>
      <c r="J211" s="675">
        <f t="shared" si="44"/>
        <v>0</v>
      </c>
      <c r="K211" s="675"/>
      <c r="L211" s="675"/>
      <c r="M211" s="675">
        <f t="shared" si="45"/>
        <v>397123</v>
      </c>
    </row>
    <row r="212" spans="1:13">
      <c r="A212" s="697"/>
      <c r="B212" s="697"/>
      <c r="C212" s="704" t="s">
        <v>458</v>
      </c>
      <c r="D212" s="705">
        <v>4.68</v>
      </c>
      <c r="E212" s="675">
        <f t="shared" si="39"/>
        <v>9360000</v>
      </c>
      <c r="F212" s="675">
        <f t="shared" si="40"/>
        <v>210000</v>
      </c>
      <c r="G212" s="675">
        <f t="shared" si="41"/>
        <v>1123200</v>
      </c>
      <c r="H212" s="675">
        <f t="shared" si="42"/>
        <v>374400</v>
      </c>
      <c r="I212" s="675">
        <f t="shared" si="43"/>
        <v>0</v>
      </c>
      <c r="J212" s="675">
        <f t="shared" si="44"/>
        <v>0</v>
      </c>
      <c r="K212" s="675"/>
      <c r="L212" s="675"/>
      <c r="M212" s="675">
        <f t="shared" si="45"/>
        <v>425677</v>
      </c>
    </row>
    <row r="213" spans="1:13">
      <c r="A213" s="697"/>
      <c r="B213" s="697"/>
      <c r="C213" s="704"/>
      <c r="D213" s="705">
        <v>4.92</v>
      </c>
      <c r="E213" s="675">
        <f t="shared" si="39"/>
        <v>9840000</v>
      </c>
      <c r="F213" s="675">
        <f t="shared" si="40"/>
        <v>210000</v>
      </c>
      <c r="G213" s="675">
        <f t="shared" si="41"/>
        <v>1180800</v>
      </c>
      <c r="H213" s="675">
        <f t="shared" si="42"/>
        <v>393600</v>
      </c>
      <c r="I213" s="675">
        <f t="shared" si="43"/>
        <v>0</v>
      </c>
      <c r="J213" s="675">
        <f t="shared" si="44"/>
        <v>0</v>
      </c>
      <c r="K213" s="675"/>
      <c r="L213" s="675"/>
      <c r="M213" s="675">
        <f t="shared" si="45"/>
        <v>447092</v>
      </c>
    </row>
    <row r="214" spans="1:13">
      <c r="A214" s="678" t="s">
        <v>459</v>
      </c>
      <c r="B214" s="678"/>
      <c r="C214" s="685"/>
      <c r="D214" s="685"/>
      <c r="E214" s="686"/>
      <c r="F214" s="686"/>
      <c r="G214" s="686"/>
      <c r="H214" s="686"/>
      <c r="I214" s="686"/>
      <c r="J214" s="686"/>
      <c r="K214" s="686"/>
      <c r="L214" s="686"/>
      <c r="M214" s="686"/>
    </row>
    <row r="215" spans="1:13">
      <c r="A215" s="697"/>
      <c r="B215" s="697"/>
      <c r="C215" s="704" t="s">
        <v>372</v>
      </c>
      <c r="D215" s="705">
        <v>2.5099999999999998</v>
      </c>
      <c r="E215" s="675">
        <f t="shared" ref="E215:E222" si="46">D215*LTTV</f>
        <v>5020000</v>
      </c>
      <c r="F215" s="675">
        <f t="shared" ref="F215:F222" si="47">$F$10</f>
        <v>210000</v>
      </c>
      <c r="G215" s="675">
        <f t="shared" ref="G215:G222" si="48">E215*luongphu</f>
        <v>602400</v>
      </c>
      <c r="H215" s="675">
        <f t="shared" ref="H215:H222" si="49">E215*khoantructiep</f>
        <v>200800</v>
      </c>
      <c r="I215" s="675">
        <f t="shared" ref="I215:I222" si="50">E215*KhongOndinhSX</f>
        <v>0</v>
      </c>
      <c r="J215" s="675">
        <f t="shared" ref="J215:J222" si="51">E215*thuhut</f>
        <v>0</v>
      </c>
      <c r="K215" s="675"/>
      <c r="L215" s="675"/>
      <c r="M215" s="675">
        <f t="shared" ref="M215:M222" si="52">ROUND(SUM(E215:L215)/26,0)</f>
        <v>232046</v>
      </c>
    </row>
    <row r="216" spans="1:13">
      <c r="A216" s="697"/>
      <c r="B216" s="697"/>
      <c r="C216" s="704"/>
      <c r="D216" s="705">
        <v>2.66</v>
      </c>
      <c r="E216" s="675">
        <f t="shared" si="46"/>
        <v>5320000</v>
      </c>
      <c r="F216" s="675">
        <f t="shared" si="47"/>
        <v>210000</v>
      </c>
      <c r="G216" s="675">
        <f t="shared" si="48"/>
        <v>638400</v>
      </c>
      <c r="H216" s="675">
        <f t="shared" si="49"/>
        <v>212800</v>
      </c>
      <c r="I216" s="675">
        <f t="shared" si="50"/>
        <v>0</v>
      </c>
      <c r="J216" s="675">
        <f t="shared" si="51"/>
        <v>0</v>
      </c>
      <c r="K216" s="675"/>
      <c r="L216" s="675"/>
      <c r="M216" s="675">
        <f t="shared" si="52"/>
        <v>245431</v>
      </c>
    </row>
    <row r="217" spans="1:13">
      <c r="A217" s="697"/>
      <c r="B217" s="697"/>
      <c r="C217" s="704" t="s">
        <v>390</v>
      </c>
      <c r="D217" s="705">
        <v>3.17</v>
      </c>
      <c r="E217" s="675">
        <f t="shared" si="46"/>
        <v>6340000</v>
      </c>
      <c r="F217" s="675">
        <f t="shared" si="47"/>
        <v>210000</v>
      </c>
      <c r="G217" s="675">
        <f t="shared" si="48"/>
        <v>760800</v>
      </c>
      <c r="H217" s="675">
        <f t="shared" si="49"/>
        <v>253600</v>
      </c>
      <c r="I217" s="675">
        <f t="shared" si="50"/>
        <v>0</v>
      </c>
      <c r="J217" s="675">
        <f t="shared" si="51"/>
        <v>0</v>
      </c>
      <c r="K217" s="675"/>
      <c r="L217" s="675"/>
      <c r="M217" s="675">
        <f t="shared" si="52"/>
        <v>290938</v>
      </c>
    </row>
    <row r="218" spans="1:13">
      <c r="A218" s="697"/>
      <c r="B218" s="697"/>
      <c r="C218" s="704"/>
      <c r="D218" s="705">
        <v>3.3</v>
      </c>
      <c r="E218" s="675">
        <f t="shared" si="46"/>
        <v>6600000</v>
      </c>
      <c r="F218" s="675">
        <f t="shared" si="47"/>
        <v>210000</v>
      </c>
      <c r="G218" s="675">
        <f t="shared" si="48"/>
        <v>792000</v>
      </c>
      <c r="H218" s="675">
        <f t="shared" si="49"/>
        <v>264000</v>
      </c>
      <c r="I218" s="675">
        <f t="shared" si="50"/>
        <v>0</v>
      </c>
      <c r="J218" s="675">
        <f t="shared" si="51"/>
        <v>0</v>
      </c>
      <c r="K218" s="675"/>
      <c r="L218" s="675"/>
      <c r="M218" s="675">
        <f t="shared" si="52"/>
        <v>302538</v>
      </c>
    </row>
    <row r="219" spans="1:13">
      <c r="A219" s="697"/>
      <c r="B219" s="697"/>
      <c r="C219" s="766" t="s">
        <v>407</v>
      </c>
      <c r="D219" s="705">
        <v>3.55</v>
      </c>
      <c r="E219" s="675">
        <f t="shared" si="46"/>
        <v>7100000</v>
      </c>
      <c r="F219" s="675">
        <f t="shared" si="47"/>
        <v>210000</v>
      </c>
      <c r="G219" s="675">
        <f t="shared" si="48"/>
        <v>852000</v>
      </c>
      <c r="H219" s="675">
        <f t="shared" si="49"/>
        <v>284000</v>
      </c>
      <c r="I219" s="675">
        <f t="shared" si="50"/>
        <v>0</v>
      </c>
      <c r="J219" s="675">
        <f t="shared" si="51"/>
        <v>0</v>
      </c>
      <c r="K219" s="675"/>
      <c r="L219" s="675"/>
      <c r="M219" s="675">
        <f t="shared" si="52"/>
        <v>324846</v>
      </c>
    </row>
    <row r="220" spans="1:13">
      <c r="A220" s="697"/>
      <c r="B220" s="697"/>
      <c r="C220" s="704"/>
      <c r="D220" s="705">
        <v>3.76</v>
      </c>
      <c r="E220" s="675">
        <f t="shared" si="46"/>
        <v>7520000</v>
      </c>
      <c r="F220" s="675">
        <f t="shared" si="47"/>
        <v>210000</v>
      </c>
      <c r="G220" s="675">
        <f t="shared" si="48"/>
        <v>902400</v>
      </c>
      <c r="H220" s="675">
        <f t="shared" si="49"/>
        <v>300800</v>
      </c>
      <c r="I220" s="675">
        <f t="shared" si="50"/>
        <v>0</v>
      </c>
      <c r="J220" s="675">
        <f t="shared" si="51"/>
        <v>0</v>
      </c>
      <c r="K220" s="675"/>
      <c r="L220" s="675"/>
      <c r="M220" s="675">
        <f t="shared" si="52"/>
        <v>343585</v>
      </c>
    </row>
    <row r="221" spans="1:13">
      <c r="A221" s="697"/>
      <c r="B221" s="697"/>
      <c r="C221" s="704" t="s">
        <v>458</v>
      </c>
      <c r="D221" s="705">
        <v>4.16</v>
      </c>
      <c r="E221" s="675">
        <f t="shared" si="46"/>
        <v>8320000</v>
      </c>
      <c r="F221" s="675">
        <f t="shared" si="47"/>
        <v>210000</v>
      </c>
      <c r="G221" s="675">
        <f t="shared" si="48"/>
        <v>998400</v>
      </c>
      <c r="H221" s="675">
        <f t="shared" si="49"/>
        <v>332800</v>
      </c>
      <c r="I221" s="675">
        <f t="shared" si="50"/>
        <v>0</v>
      </c>
      <c r="J221" s="675">
        <f t="shared" si="51"/>
        <v>0</v>
      </c>
      <c r="K221" s="675"/>
      <c r="L221" s="675"/>
      <c r="M221" s="675">
        <f t="shared" si="52"/>
        <v>379277</v>
      </c>
    </row>
    <row r="222" spans="1:13">
      <c r="A222" s="697"/>
      <c r="B222" s="697"/>
      <c r="C222" s="704"/>
      <c r="D222" s="705">
        <v>4.37</v>
      </c>
      <c r="E222" s="675">
        <f t="shared" si="46"/>
        <v>8740000</v>
      </c>
      <c r="F222" s="675">
        <f t="shared" si="47"/>
        <v>210000</v>
      </c>
      <c r="G222" s="675">
        <f t="shared" si="48"/>
        <v>1048800</v>
      </c>
      <c r="H222" s="675">
        <f t="shared" si="49"/>
        <v>349600</v>
      </c>
      <c r="I222" s="675">
        <f t="shared" si="50"/>
        <v>0</v>
      </c>
      <c r="J222" s="675">
        <f t="shared" si="51"/>
        <v>0</v>
      </c>
      <c r="K222" s="675"/>
      <c r="L222" s="675"/>
      <c r="M222" s="675">
        <f t="shared" si="52"/>
        <v>398015</v>
      </c>
    </row>
    <row r="223" spans="1:13">
      <c r="A223" s="678" t="s">
        <v>460</v>
      </c>
      <c r="B223" s="678"/>
      <c r="C223" s="685"/>
      <c r="D223" s="685"/>
      <c r="E223" s="686"/>
      <c r="F223" s="686"/>
      <c r="G223" s="686"/>
      <c r="H223" s="686"/>
      <c r="I223" s="686"/>
      <c r="J223" s="686"/>
      <c r="K223" s="686"/>
      <c r="L223" s="686"/>
      <c r="M223" s="686"/>
    </row>
    <row r="224" spans="1:13">
      <c r="A224" s="697"/>
      <c r="B224" s="697"/>
      <c r="C224" s="704" t="s">
        <v>372</v>
      </c>
      <c r="D224" s="705"/>
      <c r="E224" s="695"/>
      <c r="F224" s="686"/>
      <c r="G224" s="686"/>
      <c r="H224" s="686"/>
      <c r="I224" s="686"/>
      <c r="J224" s="686"/>
      <c r="K224" s="686"/>
      <c r="L224" s="686"/>
      <c r="M224" s="686"/>
    </row>
    <row r="225" spans="1:13">
      <c r="A225" s="697"/>
      <c r="B225" s="697"/>
      <c r="C225" s="704"/>
      <c r="D225" s="705"/>
      <c r="E225" s="695"/>
      <c r="F225" s="686"/>
      <c r="G225" s="686"/>
      <c r="H225" s="686"/>
      <c r="I225" s="686"/>
      <c r="J225" s="686"/>
      <c r="K225" s="686"/>
      <c r="L225" s="686"/>
      <c r="M225" s="686"/>
    </row>
    <row r="226" spans="1:13">
      <c r="A226" s="697"/>
      <c r="B226" s="697"/>
      <c r="C226" s="685" t="s">
        <v>390</v>
      </c>
      <c r="D226" s="705">
        <v>2.66</v>
      </c>
      <c r="E226" s="675">
        <f t="shared" ref="E226:E231" si="53">D226*LTTV</f>
        <v>5320000</v>
      </c>
      <c r="F226" s="675">
        <f t="shared" ref="F226:F231" si="54">$F$10</f>
        <v>210000</v>
      </c>
      <c r="G226" s="675">
        <f t="shared" ref="G226:G231" si="55">E226*luongphu</f>
        <v>638400</v>
      </c>
      <c r="H226" s="675">
        <f t="shared" ref="H226:H231" si="56">E226*khoantructiep</f>
        <v>212800</v>
      </c>
      <c r="I226" s="675">
        <f t="shared" ref="I226:I231" si="57">E226*KhongOndinhSX</f>
        <v>0</v>
      </c>
      <c r="J226" s="675">
        <f t="shared" ref="J226:J231" si="58">E226*thuhut</f>
        <v>0</v>
      </c>
      <c r="K226" s="675"/>
      <c r="L226" s="675"/>
      <c r="M226" s="675">
        <f t="shared" ref="M226:M231" si="59">ROUND(SUM(E226:L226)/26,0)</f>
        <v>245431</v>
      </c>
    </row>
    <row r="227" spans="1:13">
      <c r="A227" s="697"/>
      <c r="B227" s="697"/>
      <c r="C227" s="685"/>
      <c r="D227" s="705">
        <v>2.81</v>
      </c>
      <c r="E227" s="675">
        <f t="shared" si="53"/>
        <v>5620000</v>
      </c>
      <c r="F227" s="675">
        <f t="shared" si="54"/>
        <v>210000</v>
      </c>
      <c r="G227" s="675">
        <f t="shared" si="55"/>
        <v>674400</v>
      </c>
      <c r="H227" s="675">
        <f t="shared" si="56"/>
        <v>224800</v>
      </c>
      <c r="I227" s="675">
        <f t="shared" si="57"/>
        <v>0</v>
      </c>
      <c r="J227" s="675">
        <f t="shared" si="58"/>
        <v>0</v>
      </c>
      <c r="K227" s="675"/>
      <c r="L227" s="675"/>
      <c r="M227" s="675">
        <f t="shared" si="59"/>
        <v>258815</v>
      </c>
    </row>
    <row r="228" spans="1:13">
      <c r="A228" s="697"/>
      <c r="B228" s="697"/>
      <c r="C228" s="685" t="s">
        <v>407</v>
      </c>
      <c r="D228" s="705">
        <v>2.93</v>
      </c>
      <c r="E228" s="675">
        <f t="shared" si="53"/>
        <v>5860000</v>
      </c>
      <c r="F228" s="675">
        <f t="shared" si="54"/>
        <v>210000</v>
      </c>
      <c r="G228" s="675">
        <f t="shared" si="55"/>
        <v>703200</v>
      </c>
      <c r="H228" s="675">
        <f t="shared" si="56"/>
        <v>234400</v>
      </c>
      <c r="I228" s="675">
        <f t="shared" si="57"/>
        <v>0</v>
      </c>
      <c r="J228" s="675">
        <f t="shared" si="58"/>
        <v>0</v>
      </c>
      <c r="K228" s="675"/>
      <c r="L228" s="675"/>
      <c r="M228" s="675">
        <f t="shared" si="59"/>
        <v>269523</v>
      </c>
    </row>
    <row r="229" spans="1:13">
      <c r="A229" s="697"/>
      <c r="B229" s="697"/>
      <c r="C229" s="685"/>
      <c r="D229" s="705">
        <v>3.1</v>
      </c>
      <c r="E229" s="675">
        <f t="shared" si="53"/>
        <v>6200000</v>
      </c>
      <c r="F229" s="675">
        <f t="shared" si="54"/>
        <v>210000</v>
      </c>
      <c r="G229" s="675">
        <f t="shared" si="55"/>
        <v>744000</v>
      </c>
      <c r="H229" s="675">
        <f t="shared" si="56"/>
        <v>248000</v>
      </c>
      <c r="I229" s="675">
        <f t="shared" si="57"/>
        <v>0</v>
      </c>
      <c r="J229" s="675">
        <f t="shared" si="58"/>
        <v>0</v>
      </c>
      <c r="K229" s="675"/>
      <c r="L229" s="675"/>
      <c r="M229" s="675">
        <f t="shared" si="59"/>
        <v>284692</v>
      </c>
    </row>
    <row r="230" spans="1:13">
      <c r="A230" s="697"/>
      <c r="B230" s="697"/>
      <c r="C230" s="685" t="s">
        <v>458</v>
      </c>
      <c r="D230" s="705">
        <v>3.55</v>
      </c>
      <c r="E230" s="675">
        <f t="shared" si="53"/>
        <v>7100000</v>
      </c>
      <c r="F230" s="675">
        <f t="shared" si="54"/>
        <v>210000</v>
      </c>
      <c r="G230" s="675">
        <f t="shared" si="55"/>
        <v>852000</v>
      </c>
      <c r="H230" s="675">
        <f t="shared" si="56"/>
        <v>284000</v>
      </c>
      <c r="I230" s="675">
        <f t="shared" si="57"/>
        <v>0</v>
      </c>
      <c r="J230" s="675">
        <f t="shared" si="58"/>
        <v>0</v>
      </c>
      <c r="K230" s="675"/>
      <c r="L230" s="675"/>
      <c r="M230" s="675">
        <f t="shared" si="59"/>
        <v>324846</v>
      </c>
    </row>
    <row r="231" spans="1:13">
      <c r="A231" s="697"/>
      <c r="B231" s="697"/>
      <c r="C231" s="685"/>
      <c r="D231" s="705">
        <v>3.76</v>
      </c>
      <c r="E231" s="675">
        <f t="shared" si="53"/>
        <v>7520000</v>
      </c>
      <c r="F231" s="675">
        <f t="shared" si="54"/>
        <v>210000</v>
      </c>
      <c r="G231" s="675">
        <f t="shared" si="55"/>
        <v>902400</v>
      </c>
      <c r="H231" s="675">
        <f t="shared" si="56"/>
        <v>300800</v>
      </c>
      <c r="I231" s="675">
        <f t="shared" si="57"/>
        <v>0</v>
      </c>
      <c r="J231" s="675">
        <f t="shared" si="58"/>
        <v>0</v>
      </c>
      <c r="K231" s="675"/>
      <c r="L231" s="675"/>
      <c r="M231" s="675">
        <f t="shared" si="59"/>
        <v>343585</v>
      </c>
    </row>
    <row r="232" spans="1:13">
      <c r="A232" s="706" t="s">
        <v>608</v>
      </c>
      <c r="B232" s="706"/>
      <c r="C232" s="707"/>
      <c r="D232" s="707"/>
      <c r="E232" s="708"/>
      <c r="F232" s="708"/>
      <c r="G232" s="708"/>
      <c r="H232" s="708"/>
      <c r="I232" s="708"/>
      <c r="J232" s="708"/>
      <c r="K232" s="708"/>
      <c r="L232" s="708"/>
      <c r="M232" s="708"/>
    </row>
    <row r="233" spans="1:13">
      <c r="A233" s="694" t="s">
        <v>461</v>
      </c>
      <c r="B233" s="694"/>
      <c r="C233" s="707"/>
      <c r="D233" s="707"/>
      <c r="E233" s="708"/>
      <c r="F233" s="708"/>
      <c r="G233" s="708"/>
      <c r="H233" s="708"/>
      <c r="I233" s="708"/>
      <c r="J233" s="708"/>
      <c r="K233" s="708"/>
      <c r="L233" s="708"/>
      <c r="M233" s="708"/>
    </row>
    <row r="234" spans="1:13">
      <c r="A234" s="706" t="s">
        <v>605</v>
      </c>
      <c r="B234" s="706"/>
      <c r="C234" s="707"/>
      <c r="D234" s="707"/>
      <c r="E234" s="708"/>
      <c r="F234" s="708"/>
      <c r="G234" s="708"/>
      <c r="H234" s="708"/>
      <c r="I234" s="708"/>
      <c r="J234" s="708"/>
      <c r="K234" s="708"/>
      <c r="L234" s="708"/>
      <c r="M234" s="708"/>
    </row>
    <row r="235" spans="1:13">
      <c r="A235" s="694" t="s">
        <v>789</v>
      </c>
      <c r="B235" s="694"/>
      <c r="C235" s="707"/>
      <c r="D235" s="707"/>
      <c r="E235" s="708"/>
      <c r="F235" s="708"/>
      <c r="G235" s="708"/>
      <c r="H235" s="708"/>
      <c r="I235" s="708"/>
      <c r="J235" s="708"/>
      <c r="K235" s="708"/>
      <c r="L235" s="708"/>
      <c r="M235" s="708"/>
    </row>
    <row r="236" spans="1:13">
      <c r="A236" s="706" t="s">
        <v>606</v>
      </c>
      <c r="B236" s="706"/>
      <c r="C236" s="707"/>
      <c r="D236" s="707"/>
      <c r="E236" s="708"/>
      <c r="F236" s="708"/>
      <c r="G236" s="708"/>
      <c r="H236" s="708"/>
      <c r="I236" s="708"/>
      <c r="J236" s="708"/>
      <c r="K236" s="708"/>
      <c r="L236" s="708"/>
      <c r="M236" s="708"/>
    </row>
    <row r="237" spans="1:13">
      <c r="A237" s="694" t="s">
        <v>462</v>
      </c>
      <c r="B237" s="694"/>
      <c r="C237" s="707"/>
      <c r="D237" s="707"/>
      <c r="E237" s="708"/>
      <c r="F237" s="708"/>
      <c r="G237" s="708"/>
      <c r="H237" s="708"/>
      <c r="I237" s="708"/>
      <c r="J237" s="708"/>
      <c r="K237" s="708"/>
      <c r="L237" s="708"/>
      <c r="M237" s="708"/>
    </row>
    <row r="238" spans="1:13">
      <c r="A238" s="706" t="s">
        <v>607</v>
      </c>
      <c r="B238" s="706"/>
      <c r="C238" s="707"/>
      <c r="D238" s="707"/>
      <c r="E238" s="708"/>
      <c r="F238" s="708"/>
      <c r="G238" s="708"/>
      <c r="H238" s="708"/>
      <c r="I238" s="708"/>
      <c r="J238" s="708"/>
      <c r="K238" s="708"/>
      <c r="L238" s="708"/>
      <c r="M238" s="708"/>
    </row>
    <row r="239" spans="1:13">
      <c r="A239" s="694" t="s">
        <v>790</v>
      </c>
      <c r="B239" s="694"/>
      <c r="C239" s="707"/>
      <c r="D239" s="707"/>
      <c r="E239" s="708"/>
      <c r="F239" s="708"/>
      <c r="G239" s="708"/>
      <c r="H239" s="708"/>
      <c r="I239" s="708"/>
      <c r="J239" s="708"/>
      <c r="K239" s="708"/>
      <c r="L239" s="708"/>
      <c r="M239" s="708"/>
    </row>
    <row r="240" spans="1:13" ht="14.1" customHeight="1">
      <c r="A240" s="700" t="s">
        <v>463</v>
      </c>
      <c r="B240" s="700"/>
      <c r="C240" s="701"/>
      <c r="D240" s="702"/>
      <c r="E240" s="703"/>
      <c r="F240" s="703"/>
      <c r="G240" s="703"/>
      <c r="H240" s="703"/>
      <c r="I240" s="703"/>
      <c r="J240" s="703"/>
      <c r="K240" s="703"/>
      <c r="L240" s="703"/>
      <c r="M240" s="703"/>
    </row>
    <row r="241" spans="1:13" ht="14.1" customHeight="1">
      <c r="A241" s="700" t="s">
        <v>464</v>
      </c>
      <c r="B241" s="700"/>
      <c r="C241" s="701"/>
      <c r="D241" s="702"/>
      <c r="E241" s="703"/>
      <c r="F241" s="703"/>
      <c r="G241" s="703"/>
      <c r="H241" s="703"/>
      <c r="I241" s="703"/>
      <c r="J241" s="703"/>
      <c r="K241" s="703"/>
      <c r="L241" s="703"/>
      <c r="M241" s="703"/>
    </row>
    <row r="242" spans="1:13">
      <c r="A242" s="692" t="s">
        <v>465</v>
      </c>
      <c r="B242" s="692"/>
      <c r="C242" s="668"/>
      <c r="D242" s="694"/>
      <c r="E242" s="695"/>
      <c r="F242" s="695"/>
      <c r="G242" s="695"/>
      <c r="H242" s="695"/>
      <c r="I242" s="686"/>
      <c r="J242" s="686"/>
      <c r="K242" s="686"/>
      <c r="L242" s="686"/>
      <c r="M242" s="686"/>
    </row>
    <row r="243" spans="1:13">
      <c r="A243" s="678" t="s">
        <v>466</v>
      </c>
      <c r="B243" s="678"/>
      <c r="C243" s="668"/>
      <c r="D243" s="694"/>
      <c r="E243" s="695"/>
      <c r="F243" s="695"/>
      <c r="G243" s="695"/>
      <c r="H243" s="695"/>
      <c r="I243" s="686"/>
      <c r="J243" s="686"/>
      <c r="K243" s="686"/>
      <c r="L243" s="686"/>
      <c r="M243" s="686"/>
    </row>
    <row r="244" spans="1:13">
      <c r="A244" s="391" t="s">
        <v>456</v>
      </c>
      <c r="B244" s="678"/>
      <c r="C244" s="685"/>
      <c r="D244" s="685"/>
      <c r="E244" s="686"/>
      <c r="F244" s="686"/>
      <c r="G244" s="686"/>
      <c r="H244" s="686"/>
      <c r="I244" s="686"/>
      <c r="J244" s="686"/>
      <c r="K244" s="686"/>
      <c r="L244" s="686"/>
      <c r="M244" s="686"/>
    </row>
    <row r="245" spans="1:13">
      <c r="A245" s="678" t="s">
        <v>457</v>
      </c>
      <c r="B245" s="678"/>
      <c r="C245" s="685"/>
      <c r="D245" s="709"/>
      <c r="E245" s="686"/>
      <c r="F245" s="686"/>
      <c r="G245" s="686"/>
      <c r="H245" s="686"/>
      <c r="I245" s="686"/>
      <c r="J245" s="686"/>
      <c r="K245" s="686"/>
      <c r="L245" s="686"/>
      <c r="M245" s="675"/>
    </row>
    <row r="246" spans="1:13">
      <c r="A246" s="678" t="s">
        <v>467</v>
      </c>
      <c r="B246" s="678"/>
      <c r="C246" s="685"/>
      <c r="D246" s="709"/>
      <c r="E246" s="686"/>
      <c r="F246" s="686"/>
      <c r="G246" s="686"/>
      <c r="H246" s="686"/>
      <c r="I246" s="686"/>
      <c r="J246" s="686"/>
      <c r="K246" s="686"/>
      <c r="L246" s="686"/>
      <c r="M246" s="675"/>
    </row>
    <row r="247" spans="1:13">
      <c r="A247" s="697"/>
      <c r="B247" s="697"/>
      <c r="C247" s="710"/>
      <c r="D247" s="698">
        <v>3.91</v>
      </c>
      <c r="E247" s="675">
        <f>D247*LTTV</f>
        <v>7820000</v>
      </c>
      <c r="F247" s="675">
        <f>$F$10</f>
        <v>210000</v>
      </c>
      <c r="G247" s="675">
        <f>E247*luongphu</f>
        <v>938400</v>
      </c>
      <c r="H247" s="675">
        <f>E247*khoantructiep</f>
        <v>312800</v>
      </c>
      <c r="I247" s="675">
        <f>E247*KhongOndinhSX</f>
        <v>0</v>
      </c>
      <c r="J247" s="675">
        <f>E247*thuhut</f>
        <v>0</v>
      </c>
      <c r="K247" s="675"/>
      <c r="L247" s="675"/>
      <c r="M247" s="675">
        <f>ROUND(SUM(E247:L247)/26,0)</f>
        <v>356969</v>
      </c>
    </row>
    <row r="248" spans="1:13">
      <c r="A248" s="697"/>
      <c r="B248" s="697"/>
      <c r="C248" s="710"/>
      <c r="D248" s="698">
        <v>4.16</v>
      </c>
      <c r="E248" s="675">
        <f>D248*LTTV</f>
        <v>8320000</v>
      </c>
      <c r="F248" s="675">
        <f>$F$10</f>
        <v>210000</v>
      </c>
      <c r="G248" s="675">
        <f>E248*luongphu</f>
        <v>998400</v>
      </c>
      <c r="H248" s="675">
        <f>E248*khoantructiep</f>
        <v>332800</v>
      </c>
      <c r="I248" s="675">
        <f>E248*KhongOndinhSX</f>
        <v>0</v>
      </c>
      <c r="J248" s="675">
        <f>E248*thuhut</f>
        <v>0</v>
      </c>
      <c r="K248" s="675"/>
      <c r="L248" s="675"/>
      <c r="M248" s="675">
        <f>ROUND(SUM(E248:L248)/26,0)</f>
        <v>379277</v>
      </c>
    </row>
    <row r="249" spans="1:13">
      <c r="A249" s="678" t="s">
        <v>468</v>
      </c>
      <c r="B249" s="678"/>
      <c r="C249" s="711"/>
      <c r="D249" s="711"/>
      <c r="E249" s="712"/>
      <c r="F249" s="712"/>
      <c r="G249" s="712"/>
      <c r="H249" s="712"/>
      <c r="I249" s="712"/>
      <c r="J249" s="712"/>
      <c r="K249" s="712"/>
      <c r="L249" s="712"/>
      <c r="M249" s="675"/>
    </row>
    <row r="250" spans="1:13">
      <c r="A250" s="697"/>
      <c r="B250" s="697"/>
      <c r="C250" s="710"/>
      <c r="D250" s="698">
        <v>4.37</v>
      </c>
      <c r="E250" s="675">
        <f>D250*LTTV</f>
        <v>8740000</v>
      </c>
      <c r="F250" s="675">
        <f>$F$10</f>
        <v>210000</v>
      </c>
      <c r="G250" s="675">
        <f>E250*luongphu</f>
        <v>1048800</v>
      </c>
      <c r="H250" s="675">
        <f>E250*khoantructiep</f>
        <v>349600</v>
      </c>
      <c r="I250" s="675">
        <f>E250*KhongOndinhSX</f>
        <v>0</v>
      </c>
      <c r="J250" s="675">
        <f>E250*thuhut</f>
        <v>0</v>
      </c>
      <c r="K250" s="675"/>
      <c r="L250" s="675"/>
      <c r="M250" s="675">
        <f>ROUND(SUM(E250:L250)/26,0)</f>
        <v>398015</v>
      </c>
    </row>
    <row r="251" spans="1:13">
      <c r="A251" s="697"/>
      <c r="B251" s="697"/>
      <c r="C251" s="710"/>
      <c r="D251" s="698">
        <v>4.68</v>
      </c>
      <c r="E251" s="675">
        <f>D251*LTTV</f>
        <v>9360000</v>
      </c>
      <c r="F251" s="675">
        <f>$F$10</f>
        <v>210000</v>
      </c>
      <c r="G251" s="675">
        <f>E251*luongphu</f>
        <v>1123200</v>
      </c>
      <c r="H251" s="675">
        <f>E251*khoantructiep</f>
        <v>374400</v>
      </c>
      <c r="I251" s="675">
        <f>E251*KhongOndinhSX</f>
        <v>0</v>
      </c>
      <c r="J251" s="675">
        <f>E251*thuhut</f>
        <v>0</v>
      </c>
      <c r="K251" s="675"/>
      <c r="L251" s="675"/>
      <c r="M251" s="675">
        <f>ROUND(SUM(E251:L251)/26,0)</f>
        <v>425677</v>
      </c>
    </row>
    <row r="252" spans="1:13">
      <c r="A252" s="678" t="s">
        <v>469</v>
      </c>
      <c r="B252" s="678"/>
      <c r="C252" s="711"/>
      <c r="D252" s="711"/>
      <c r="E252" s="712"/>
      <c r="F252" s="712"/>
      <c r="G252" s="712"/>
      <c r="H252" s="712"/>
      <c r="I252" s="712"/>
      <c r="J252" s="712"/>
      <c r="K252" s="712"/>
      <c r="L252" s="712"/>
      <c r="M252" s="675"/>
    </row>
    <row r="253" spans="1:13">
      <c r="A253" s="697"/>
      <c r="B253" s="697"/>
      <c r="C253" s="710"/>
      <c r="D253" s="698">
        <v>4.88</v>
      </c>
      <c r="E253" s="675">
        <f>D253*LTTV</f>
        <v>9760000</v>
      </c>
      <c r="F253" s="675">
        <f>$F$10</f>
        <v>210000</v>
      </c>
      <c r="G253" s="675">
        <f>E253*luongphu</f>
        <v>1171200</v>
      </c>
      <c r="H253" s="675">
        <f>E253*khoantructiep</f>
        <v>390400</v>
      </c>
      <c r="I253" s="675">
        <f>E253*KhongOndinhSX</f>
        <v>0</v>
      </c>
      <c r="J253" s="675">
        <f>E253*thuhut</f>
        <v>0</v>
      </c>
      <c r="K253" s="675"/>
      <c r="L253" s="675"/>
      <c r="M253" s="675">
        <f>ROUND(SUM(E253:L253)/26,0)</f>
        <v>443523</v>
      </c>
    </row>
    <row r="254" spans="1:13">
      <c r="A254" s="697"/>
      <c r="B254" s="697"/>
      <c r="C254" s="710"/>
      <c r="D254" s="698">
        <v>5.19</v>
      </c>
      <c r="E254" s="675">
        <f>D254*LTTV</f>
        <v>10380000</v>
      </c>
      <c r="F254" s="675">
        <f>$F$10</f>
        <v>210000</v>
      </c>
      <c r="G254" s="675">
        <f>E254*luongphu</f>
        <v>1245600</v>
      </c>
      <c r="H254" s="675">
        <f>E254*khoantructiep</f>
        <v>415200</v>
      </c>
      <c r="I254" s="675">
        <f>E254*KhongOndinhSX</f>
        <v>0</v>
      </c>
      <c r="J254" s="675">
        <f>E254*thuhut</f>
        <v>0</v>
      </c>
      <c r="K254" s="675"/>
      <c r="L254" s="675"/>
      <c r="M254" s="675">
        <f>ROUND(SUM(E254:L254)/26,0)</f>
        <v>471185</v>
      </c>
    </row>
    <row r="255" spans="1:13">
      <c r="A255" s="678" t="s">
        <v>470</v>
      </c>
      <c r="B255" s="678"/>
      <c r="C255" s="685"/>
      <c r="D255" s="685"/>
      <c r="E255" s="686"/>
      <c r="F255" s="686"/>
      <c r="G255" s="686"/>
      <c r="H255" s="686"/>
      <c r="I255" s="686"/>
      <c r="J255" s="686"/>
      <c r="K255" s="686"/>
      <c r="L255" s="686"/>
      <c r="M255" s="675"/>
    </row>
    <row r="256" spans="1:13">
      <c r="A256" s="697"/>
      <c r="B256" s="697"/>
      <c r="C256" s="685"/>
      <c r="D256" s="698">
        <v>3.5</v>
      </c>
      <c r="E256" s="675">
        <f t="shared" ref="E256:E261" si="60">D256*LTTV</f>
        <v>7000000</v>
      </c>
      <c r="F256" s="675">
        <f t="shared" ref="F256:F261" si="61">$F$10</f>
        <v>210000</v>
      </c>
      <c r="G256" s="675">
        <f t="shared" ref="G256:G261" si="62">E256*luongphu</f>
        <v>840000</v>
      </c>
      <c r="H256" s="675">
        <f t="shared" ref="H256:H261" si="63">E256*khoantructiep</f>
        <v>280000</v>
      </c>
      <c r="I256" s="675">
        <f t="shared" ref="I256:I261" si="64">E256*KhongOndinhSX</f>
        <v>0</v>
      </c>
      <c r="J256" s="675">
        <f t="shared" ref="J256:J261" si="65">E256*thuhut</f>
        <v>0</v>
      </c>
      <c r="K256" s="675"/>
      <c r="L256" s="675"/>
      <c r="M256" s="675">
        <f t="shared" ref="M256:M261" si="66">ROUND(SUM(E256:L256)/26,0)</f>
        <v>320385</v>
      </c>
    </row>
    <row r="257" spans="1:13">
      <c r="A257" s="697"/>
      <c r="B257" s="697"/>
      <c r="C257" s="685"/>
      <c r="D257" s="698">
        <v>3.73</v>
      </c>
      <c r="E257" s="675">
        <f t="shared" si="60"/>
        <v>7460000</v>
      </c>
      <c r="F257" s="675">
        <f t="shared" si="61"/>
        <v>210000</v>
      </c>
      <c r="G257" s="675">
        <f t="shared" si="62"/>
        <v>895200</v>
      </c>
      <c r="H257" s="675">
        <f t="shared" si="63"/>
        <v>298400</v>
      </c>
      <c r="I257" s="675">
        <f t="shared" si="64"/>
        <v>0</v>
      </c>
      <c r="J257" s="675">
        <f t="shared" si="65"/>
        <v>0</v>
      </c>
      <c r="K257" s="675"/>
      <c r="L257" s="675"/>
      <c r="M257" s="675">
        <f t="shared" si="66"/>
        <v>340908</v>
      </c>
    </row>
    <row r="258" spans="1:13">
      <c r="A258" s="697"/>
      <c r="B258" s="697"/>
      <c r="C258" s="685"/>
      <c r="D258" s="698">
        <v>4.16</v>
      </c>
      <c r="E258" s="675">
        <f t="shared" si="60"/>
        <v>8320000</v>
      </c>
      <c r="F258" s="675">
        <f t="shared" si="61"/>
        <v>210000</v>
      </c>
      <c r="G258" s="675">
        <f t="shared" si="62"/>
        <v>998400</v>
      </c>
      <c r="H258" s="675">
        <f t="shared" si="63"/>
        <v>332800</v>
      </c>
      <c r="I258" s="675">
        <f t="shared" si="64"/>
        <v>0</v>
      </c>
      <c r="J258" s="675">
        <f t="shared" si="65"/>
        <v>0</v>
      </c>
      <c r="K258" s="675"/>
      <c r="L258" s="675"/>
      <c r="M258" s="675">
        <f t="shared" si="66"/>
        <v>379277</v>
      </c>
    </row>
    <row r="259" spans="1:13">
      <c r="A259" s="697"/>
      <c r="B259" s="697"/>
      <c r="C259" s="685"/>
      <c r="D259" s="698">
        <v>4.37</v>
      </c>
      <c r="E259" s="675">
        <f t="shared" si="60"/>
        <v>8740000</v>
      </c>
      <c r="F259" s="675">
        <f t="shared" si="61"/>
        <v>210000</v>
      </c>
      <c r="G259" s="675">
        <f t="shared" si="62"/>
        <v>1048800</v>
      </c>
      <c r="H259" s="675">
        <f t="shared" si="63"/>
        <v>349600</v>
      </c>
      <c r="I259" s="675">
        <f t="shared" si="64"/>
        <v>0</v>
      </c>
      <c r="J259" s="675">
        <f t="shared" si="65"/>
        <v>0</v>
      </c>
      <c r="K259" s="675"/>
      <c r="L259" s="675"/>
      <c r="M259" s="675">
        <f t="shared" si="66"/>
        <v>398015</v>
      </c>
    </row>
    <row r="260" spans="1:13">
      <c r="A260" s="697"/>
      <c r="B260" s="697"/>
      <c r="C260" s="685"/>
      <c r="D260" s="698">
        <v>4.71</v>
      </c>
      <c r="E260" s="675">
        <f t="shared" si="60"/>
        <v>9420000</v>
      </c>
      <c r="F260" s="675">
        <f t="shared" si="61"/>
        <v>210000</v>
      </c>
      <c r="G260" s="675">
        <f t="shared" si="62"/>
        <v>1130400</v>
      </c>
      <c r="H260" s="675">
        <f t="shared" si="63"/>
        <v>376800</v>
      </c>
      <c r="I260" s="675">
        <f t="shared" si="64"/>
        <v>0</v>
      </c>
      <c r="J260" s="675">
        <f t="shared" si="65"/>
        <v>0</v>
      </c>
      <c r="K260" s="675"/>
      <c r="L260" s="675"/>
      <c r="M260" s="675">
        <f t="shared" si="66"/>
        <v>428354</v>
      </c>
    </row>
    <row r="261" spans="1:13">
      <c r="A261" s="697"/>
      <c r="B261" s="697"/>
      <c r="C261" s="685"/>
      <c r="D261" s="698">
        <v>5.07</v>
      </c>
      <c r="E261" s="675">
        <f t="shared" si="60"/>
        <v>10140000</v>
      </c>
      <c r="F261" s="675">
        <f t="shared" si="61"/>
        <v>210000</v>
      </c>
      <c r="G261" s="675">
        <f t="shared" si="62"/>
        <v>1216800</v>
      </c>
      <c r="H261" s="675">
        <f t="shared" si="63"/>
        <v>405600</v>
      </c>
      <c r="I261" s="675">
        <f t="shared" si="64"/>
        <v>0</v>
      </c>
      <c r="J261" s="675">
        <f t="shared" si="65"/>
        <v>0</v>
      </c>
      <c r="K261" s="675"/>
      <c r="L261" s="675"/>
      <c r="M261" s="675">
        <f t="shared" si="66"/>
        <v>460477</v>
      </c>
    </row>
    <row r="262" spans="1:13">
      <c r="A262" s="678" t="s">
        <v>471</v>
      </c>
      <c r="B262" s="678"/>
      <c r="C262" s="685"/>
      <c r="D262" s="685"/>
      <c r="E262" s="686"/>
      <c r="F262" s="686"/>
      <c r="G262" s="686"/>
      <c r="H262" s="686"/>
      <c r="I262" s="686"/>
      <c r="J262" s="686"/>
      <c r="K262" s="686"/>
      <c r="L262" s="686"/>
      <c r="M262" s="675"/>
    </row>
    <row r="263" spans="1:13">
      <c r="A263" s="678" t="s">
        <v>472</v>
      </c>
      <c r="B263" s="678"/>
      <c r="C263" s="685"/>
      <c r="D263" s="685"/>
      <c r="E263" s="686"/>
      <c r="F263" s="686"/>
      <c r="G263" s="686"/>
      <c r="H263" s="686"/>
      <c r="I263" s="686"/>
      <c r="J263" s="686"/>
      <c r="K263" s="686"/>
      <c r="L263" s="686"/>
      <c r="M263" s="675"/>
    </row>
    <row r="264" spans="1:13">
      <c r="A264" s="697"/>
      <c r="B264" s="697"/>
      <c r="C264" s="685"/>
      <c r="D264" s="698">
        <v>4.16</v>
      </c>
      <c r="E264" s="675">
        <f>D264*LTTV</f>
        <v>8320000</v>
      </c>
      <c r="F264" s="675">
        <f>$F$10</f>
        <v>210000</v>
      </c>
      <c r="G264" s="675">
        <f>E264*luongphu</f>
        <v>998400</v>
      </c>
      <c r="H264" s="675">
        <f>E264*khoantructiep</f>
        <v>332800</v>
      </c>
      <c r="I264" s="675">
        <f>E264*KhongOndinhSX</f>
        <v>0</v>
      </c>
      <c r="J264" s="675">
        <f>E264*thuhut</f>
        <v>0</v>
      </c>
      <c r="K264" s="675"/>
      <c r="L264" s="675"/>
      <c r="M264" s="675">
        <f>ROUND(SUM(E264:L264)/26,0)</f>
        <v>379277</v>
      </c>
    </row>
    <row r="265" spans="1:13">
      <c r="A265" s="697"/>
      <c r="B265" s="697"/>
      <c r="C265" s="685"/>
      <c r="D265" s="698">
        <v>4.3600000000000003</v>
      </c>
      <c r="E265" s="675">
        <f>D265*LTTV</f>
        <v>8720000</v>
      </c>
      <c r="F265" s="675">
        <f>$F$10</f>
        <v>210000</v>
      </c>
      <c r="G265" s="675">
        <f>E265*luongphu</f>
        <v>1046400</v>
      </c>
      <c r="H265" s="675">
        <f>E265*khoantructiep</f>
        <v>348800</v>
      </c>
      <c r="I265" s="675">
        <f>E265*KhongOndinhSX</f>
        <v>0</v>
      </c>
      <c r="J265" s="675">
        <f>E265*thuhut</f>
        <v>0</v>
      </c>
      <c r="K265" s="675"/>
      <c r="L265" s="675"/>
      <c r="M265" s="675">
        <f>ROUND(SUM(E265:L265)/26,0)</f>
        <v>397123</v>
      </c>
    </row>
    <row r="266" spans="1:13">
      <c r="A266" s="678" t="s">
        <v>473</v>
      </c>
      <c r="B266" s="678"/>
      <c r="C266" s="685"/>
      <c r="D266" s="685"/>
      <c r="E266" s="686"/>
      <c r="F266" s="686"/>
      <c r="G266" s="686"/>
      <c r="H266" s="686"/>
      <c r="I266" s="686"/>
      <c r="J266" s="686"/>
      <c r="K266" s="686"/>
      <c r="L266" s="686"/>
      <c r="M266" s="675"/>
    </row>
    <row r="267" spans="1:13">
      <c r="A267" s="697"/>
      <c r="B267" s="697"/>
      <c r="C267" s="685"/>
      <c r="D267" s="698">
        <v>3.48</v>
      </c>
      <c r="E267" s="675">
        <f t="shared" ref="E267:E272" si="67">D267*LTTV</f>
        <v>6960000</v>
      </c>
      <c r="F267" s="675">
        <f t="shared" ref="F267:F272" si="68">$F$10</f>
        <v>210000</v>
      </c>
      <c r="G267" s="675">
        <f t="shared" ref="G267:G272" si="69">E267*luongphu</f>
        <v>835200</v>
      </c>
      <c r="H267" s="675">
        <f t="shared" ref="H267:H272" si="70">E267*khoantructiep</f>
        <v>278400</v>
      </c>
      <c r="I267" s="675">
        <f t="shared" ref="I267:I272" si="71">E267*KhongOndinhSX</f>
        <v>0</v>
      </c>
      <c r="J267" s="675">
        <f t="shared" ref="J267:J272" si="72">E267*thuhut</f>
        <v>0</v>
      </c>
      <c r="K267" s="675"/>
      <c r="L267" s="675"/>
      <c r="M267" s="675">
        <f t="shared" ref="M267:M272" si="73">ROUND(SUM(E267:L267)/26,0)</f>
        <v>318600</v>
      </c>
    </row>
    <row r="268" spans="1:13">
      <c r="A268" s="697"/>
      <c r="B268" s="697"/>
      <c r="C268" s="685"/>
      <c r="D268" s="698">
        <v>3.71</v>
      </c>
      <c r="E268" s="675">
        <f t="shared" si="67"/>
        <v>7420000</v>
      </c>
      <c r="F268" s="675">
        <f t="shared" si="68"/>
        <v>210000</v>
      </c>
      <c r="G268" s="675">
        <f t="shared" si="69"/>
        <v>890400</v>
      </c>
      <c r="H268" s="675">
        <f t="shared" si="70"/>
        <v>296800</v>
      </c>
      <c r="I268" s="675">
        <f t="shared" si="71"/>
        <v>0</v>
      </c>
      <c r="J268" s="675">
        <f t="shared" si="72"/>
        <v>0</v>
      </c>
      <c r="K268" s="675"/>
      <c r="L268" s="675"/>
      <c r="M268" s="675">
        <f t="shared" si="73"/>
        <v>339123</v>
      </c>
    </row>
    <row r="269" spans="1:13">
      <c r="A269" s="697"/>
      <c r="B269" s="697"/>
      <c r="C269" s="685"/>
      <c r="D269" s="698">
        <v>4.09</v>
      </c>
      <c r="E269" s="675">
        <f t="shared" si="67"/>
        <v>8180000</v>
      </c>
      <c r="F269" s="675">
        <f t="shared" si="68"/>
        <v>210000</v>
      </c>
      <c r="G269" s="675">
        <f t="shared" si="69"/>
        <v>981600</v>
      </c>
      <c r="H269" s="675">
        <f t="shared" si="70"/>
        <v>327200</v>
      </c>
      <c r="I269" s="675">
        <f t="shared" si="71"/>
        <v>0</v>
      </c>
      <c r="J269" s="675">
        <f t="shared" si="72"/>
        <v>0</v>
      </c>
      <c r="K269" s="675"/>
      <c r="L269" s="675"/>
      <c r="M269" s="675">
        <f t="shared" si="73"/>
        <v>373031</v>
      </c>
    </row>
    <row r="270" spans="1:13">
      <c r="A270" s="697"/>
      <c r="B270" s="697"/>
      <c r="C270" s="685"/>
      <c r="D270" s="698">
        <v>4.3</v>
      </c>
      <c r="E270" s="675">
        <f t="shared" si="67"/>
        <v>8600000</v>
      </c>
      <c r="F270" s="675">
        <f t="shared" si="68"/>
        <v>210000</v>
      </c>
      <c r="G270" s="675">
        <f t="shared" si="69"/>
        <v>1032000</v>
      </c>
      <c r="H270" s="675">
        <f t="shared" si="70"/>
        <v>344000</v>
      </c>
      <c r="I270" s="675">
        <f t="shared" si="71"/>
        <v>0</v>
      </c>
      <c r="J270" s="675">
        <f t="shared" si="72"/>
        <v>0</v>
      </c>
      <c r="K270" s="675"/>
      <c r="L270" s="675"/>
      <c r="M270" s="675">
        <f t="shared" si="73"/>
        <v>391769</v>
      </c>
    </row>
    <row r="271" spans="1:13">
      <c r="A271" s="697"/>
      <c r="B271" s="697"/>
      <c r="C271" s="685"/>
      <c r="D271" s="698">
        <v>4.68</v>
      </c>
      <c r="E271" s="675">
        <f t="shared" si="67"/>
        <v>9360000</v>
      </c>
      <c r="F271" s="675">
        <f t="shared" si="68"/>
        <v>210000</v>
      </c>
      <c r="G271" s="675">
        <f t="shared" si="69"/>
        <v>1123200</v>
      </c>
      <c r="H271" s="675">
        <f t="shared" si="70"/>
        <v>374400</v>
      </c>
      <c r="I271" s="675">
        <f t="shared" si="71"/>
        <v>0</v>
      </c>
      <c r="J271" s="675">
        <f t="shared" si="72"/>
        <v>0</v>
      </c>
      <c r="K271" s="675"/>
      <c r="L271" s="675"/>
      <c r="M271" s="675">
        <f t="shared" si="73"/>
        <v>425677</v>
      </c>
    </row>
    <row r="272" spans="1:13">
      <c r="A272" s="697"/>
      <c r="B272" s="697"/>
      <c r="C272" s="685"/>
      <c r="D272" s="698">
        <v>4.92</v>
      </c>
      <c r="E272" s="675">
        <f t="shared" si="67"/>
        <v>9840000</v>
      </c>
      <c r="F272" s="675">
        <f t="shared" si="68"/>
        <v>210000</v>
      </c>
      <c r="G272" s="675">
        <f t="shared" si="69"/>
        <v>1180800</v>
      </c>
      <c r="H272" s="675">
        <f t="shared" si="70"/>
        <v>393600</v>
      </c>
      <c r="I272" s="675">
        <f t="shared" si="71"/>
        <v>0</v>
      </c>
      <c r="J272" s="675">
        <f t="shared" si="72"/>
        <v>0</v>
      </c>
      <c r="K272" s="675"/>
      <c r="L272" s="675"/>
      <c r="M272" s="675">
        <f t="shared" si="73"/>
        <v>447092</v>
      </c>
    </row>
    <row r="273" spans="1:13">
      <c r="A273" s="678" t="s">
        <v>474</v>
      </c>
      <c r="B273" s="678"/>
      <c r="C273" s="685"/>
      <c r="D273" s="685"/>
      <c r="E273" s="686"/>
      <c r="F273" s="686"/>
      <c r="G273" s="686"/>
      <c r="H273" s="686"/>
      <c r="I273" s="686"/>
      <c r="J273" s="686"/>
      <c r="K273" s="686"/>
      <c r="L273" s="686"/>
      <c r="M273" s="675"/>
    </row>
    <row r="274" spans="1:13">
      <c r="A274" s="697"/>
      <c r="B274" s="697"/>
      <c r="C274" s="685"/>
      <c r="D274" s="698">
        <v>3.17</v>
      </c>
      <c r="E274" s="675">
        <f t="shared" ref="E274:E279" si="74">D274*LTTV</f>
        <v>6340000</v>
      </c>
      <c r="F274" s="675">
        <f t="shared" ref="F274:F279" si="75">$F$10</f>
        <v>210000</v>
      </c>
      <c r="G274" s="675">
        <f t="shared" ref="G274:G279" si="76">E274*luongphu</f>
        <v>760800</v>
      </c>
      <c r="H274" s="675">
        <f t="shared" ref="H274:H279" si="77">E274*khoantructiep</f>
        <v>253600</v>
      </c>
      <c r="I274" s="675">
        <f t="shared" ref="I274:I279" si="78">E274*KhongOndinhSX</f>
        <v>0</v>
      </c>
      <c r="J274" s="675">
        <f t="shared" ref="J274:J279" si="79">E274*thuhut</f>
        <v>0</v>
      </c>
      <c r="K274" s="675"/>
      <c r="L274" s="675"/>
      <c r="M274" s="675">
        <f t="shared" ref="M274:M279" si="80">ROUND(SUM(E274:L274)/26,0)</f>
        <v>290938</v>
      </c>
    </row>
    <row r="275" spans="1:13">
      <c r="A275" s="697"/>
      <c r="B275" s="697"/>
      <c r="C275" s="685"/>
      <c r="D275" s="698">
        <v>3.5</v>
      </c>
      <c r="E275" s="675">
        <f t="shared" si="74"/>
        <v>7000000</v>
      </c>
      <c r="F275" s="675">
        <f t="shared" si="75"/>
        <v>210000</v>
      </c>
      <c r="G275" s="675">
        <f t="shared" si="76"/>
        <v>840000</v>
      </c>
      <c r="H275" s="675">
        <f t="shared" si="77"/>
        <v>280000</v>
      </c>
      <c r="I275" s="675">
        <f t="shared" si="78"/>
        <v>0</v>
      </c>
      <c r="J275" s="675">
        <f t="shared" si="79"/>
        <v>0</v>
      </c>
      <c r="K275" s="675"/>
      <c r="L275" s="675"/>
      <c r="M275" s="675">
        <f t="shared" si="80"/>
        <v>320385</v>
      </c>
    </row>
    <row r="276" spans="1:13">
      <c r="A276" s="697"/>
      <c r="B276" s="697"/>
      <c r="C276" s="685"/>
      <c r="D276" s="698">
        <v>3.73</v>
      </c>
      <c r="E276" s="675">
        <f t="shared" si="74"/>
        <v>7460000</v>
      </c>
      <c r="F276" s="675">
        <f t="shared" si="75"/>
        <v>210000</v>
      </c>
      <c r="G276" s="675">
        <f t="shared" si="76"/>
        <v>895200</v>
      </c>
      <c r="H276" s="675">
        <f t="shared" si="77"/>
        <v>298400</v>
      </c>
      <c r="I276" s="675">
        <f t="shared" si="78"/>
        <v>0</v>
      </c>
      <c r="J276" s="675">
        <f t="shared" si="79"/>
        <v>0</v>
      </c>
      <c r="K276" s="675"/>
      <c r="L276" s="675"/>
      <c r="M276" s="675">
        <f t="shared" si="80"/>
        <v>340908</v>
      </c>
    </row>
    <row r="277" spans="1:13">
      <c r="A277" s="697"/>
      <c r="B277" s="697"/>
      <c r="C277" s="685"/>
      <c r="D277" s="698">
        <v>3.91</v>
      </c>
      <c r="E277" s="675">
        <f t="shared" si="74"/>
        <v>7820000</v>
      </c>
      <c r="F277" s="675">
        <f t="shared" si="75"/>
        <v>210000</v>
      </c>
      <c r="G277" s="675">
        <f t="shared" si="76"/>
        <v>938400</v>
      </c>
      <c r="H277" s="675">
        <f t="shared" si="77"/>
        <v>312800</v>
      </c>
      <c r="I277" s="675">
        <f t="shared" si="78"/>
        <v>0</v>
      </c>
      <c r="J277" s="675">
        <f t="shared" si="79"/>
        <v>0</v>
      </c>
      <c r="K277" s="675"/>
      <c r="L277" s="675"/>
      <c r="M277" s="675">
        <f t="shared" si="80"/>
        <v>356969</v>
      </c>
    </row>
    <row r="278" spans="1:13">
      <c r="A278" s="697"/>
      <c r="B278" s="697"/>
      <c r="C278" s="685"/>
      <c r="D278" s="698">
        <v>4.37</v>
      </c>
      <c r="E278" s="675">
        <f t="shared" si="74"/>
        <v>8740000</v>
      </c>
      <c r="F278" s="675">
        <f t="shared" si="75"/>
        <v>210000</v>
      </c>
      <c r="G278" s="675">
        <f t="shared" si="76"/>
        <v>1048800</v>
      </c>
      <c r="H278" s="675">
        <f t="shared" si="77"/>
        <v>349600</v>
      </c>
      <c r="I278" s="675">
        <f t="shared" si="78"/>
        <v>0</v>
      </c>
      <c r="J278" s="675">
        <f t="shared" si="79"/>
        <v>0</v>
      </c>
      <c r="K278" s="675"/>
      <c r="L278" s="675"/>
      <c r="M278" s="675">
        <f t="shared" si="80"/>
        <v>398015</v>
      </c>
    </row>
    <row r="279" spans="1:13">
      <c r="A279" s="697"/>
      <c r="B279" s="697"/>
      <c r="C279" s="685"/>
      <c r="D279" s="698">
        <v>4.68</v>
      </c>
      <c r="E279" s="675">
        <f t="shared" si="74"/>
        <v>9360000</v>
      </c>
      <c r="F279" s="675">
        <f t="shared" si="75"/>
        <v>210000</v>
      </c>
      <c r="G279" s="675">
        <f t="shared" si="76"/>
        <v>1123200</v>
      </c>
      <c r="H279" s="675">
        <f t="shared" si="77"/>
        <v>374400</v>
      </c>
      <c r="I279" s="675">
        <f t="shared" si="78"/>
        <v>0</v>
      </c>
      <c r="J279" s="675">
        <f t="shared" si="79"/>
        <v>0</v>
      </c>
      <c r="K279" s="675"/>
      <c r="L279" s="675"/>
      <c r="M279" s="675">
        <f t="shared" si="80"/>
        <v>425677</v>
      </c>
    </row>
    <row r="280" spans="1:13">
      <c r="A280" s="678" t="s">
        <v>475</v>
      </c>
      <c r="B280" s="678"/>
      <c r="C280" s="685"/>
      <c r="D280" s="685"/>
      <c r="E280" s="686"/>
      <c r="F280" s="686"/>
      <c r="G280" s="686"/>
      <c r="H280" s="686"/>
      <c r="I280" s="686"/>
      <c r="J280" s="686"/>
      <c r="K280" s="686"/>
      <c r="L280" s="686"/>
      <c r="M280" s="675"/>
    </row>
    <row r="281" spans="1:13">
      <c r="A281" s="697"/>
      <c r="B281" s="697"/>
      <c r="C281" s="685"/>
      <c r="D281" s="698">
        <v>4.16</v>
      </c>
      <c r="E281" s="675">
        <f>D281*LTTV</f>
        <v>8320000</v>
      </c>
      <c r="F281" s="675">
        <f>$F$10</f>
        <v>210000</v>
      </c>
      <c r="G281" s="675">
        <f>E281*luongphu</f>
        <v>998400</v>
      </c>
      <c r="H281" s="675">
        <f>E281*khoantructiep</f>
        <v>332800</v>
      </c>
      <c r="I281" s="675">
        <f>E281*KhongOndinhSX</f>
        <v>0</v>
      </c>
      <c r="J281" s="675">
        <f>E281*thuhut</f>
        <v>0</v>
      </c>
      <c r="K281" s="675"/>
      <c r="L281" s="675"/>
      <c r="M281" s="675">
        <f>ROUND(SUM(E281:L281)/26,0)</f>
        <v>379277</v>
      </c>
    </row>
    <row r="282" spans="1:13">
      <c r="A282" s="697"/>
      <c r="B282" s="697"/>
      <c r="C282" s="685"/>
      <c r="D282" s="698">
        <v>4.3600000000000003</v>
      </c>
      <c r="E282" s="675">
        <f>D282*LTTV</f>
        <v>8720000</v>
      </c>
      <c r="F282" s="675">
        <f>$F$10</f>
        <v>210000</v>
      </c>
      <c r="G282" s="675">
        <f>E282*luongphu</f>
        <v>1046400</v>
      </c>
      <c r="H282" s="675">
        <f>E282*khoantructiep</f>
        <v>348800</v>
      </c>
      <c r="I282" s="675">
        <f>E282*KhongOndinhSX</f>
        <v>0</v>
      </c>
      <c r="J282" s="675">
        <f>E282*thuhut</f>
        <v>0</v>
      </c>
      <c r="K282" s="675"/>
      <c r="L282" s="675"/>
      <c r="M282" s="675">
        <f>ROUND(SUM(E282:L282)/26,0)</f>
        <v>397123</v>
      </c>
    </row>
    <row r="283" spans="1:13">
      <c r="A283" s="678" t="s">
        <v>476</v>
      </c>
      <c r="B283" s="678"/>
      <c r="C283" s="685"/>
      <c r="D283" s="685"/>
      <c r="E283" s="686"/>
      <c r="F283" s="686"/>
      <c r="G283" s="686"/>
      <c r="H283" s="686"/>
      <c r="I283" s="686"/>
      <c r="J283" s="686"/>
      <c r="K283" s="686"/>
      <c r="L283" s="686"/>
      <c r="M283" s="675"/>
    </row>
    <row r="284" spans="1:13">
      <c r="A284" s="697"/>
      <c r="B284" s="697"/>
      <c r="C284" s="685"/>
      <c r="D284" s="698">
        <v>3.5</v>
      </c>
      <c r="E284" s="675">
        <f>D284*LTTV</f>
        <v>7000000</v>
      </c>
      <c r="F284" s="675">
        <f>$F$10</f>
        <v>210000</v>
      </c>
      <c r="G284" s="675">
        <f>E284*luongphu</f>
        <v>840000</v>
      </c>
      <c r="H284" s="675">
        <f>E284*khoantructiep</f>
        <v>280000</v>
      </c>
      <c r="I284" s="675">
        <f>E284*KhongOndinhSX</f>
        <v>0</v>
      </c>
      <c r="J284" s="675">
        <f>E284*thuhut</f>
        <v>0</v>
      </c>
      <c r="K284" s="675"/>
      <c r="L284" s="675"/>
      <c r="M284" s="675">
        <f>ROUND(SUM(E284:L284)/26,0)</f>
        <v>320385</v>
      </c>
    </row>
    <row r="285" spans="1:13">
      <c r="A285" s="697"/>
      <c r="B285" s="697"/>
      <c r="C285" s="685"/>
      <c r="D285" s="698">
        <v>3.73</v>
      </c>
      <c r="E285" s="675">
        <f>D285*LTTV</f>
        <v>7460000</v>
      </c>
      <c r="F285" s="675">
        <f>$F$10</f>
        <v>210000</v>
      </c>
      <c r="G285" s="675">
        <f>E285*luongphu</f>
        <v>895200</v>
      </c>
      <c r="H285" s="675">
        <f>E285*khoantructiep</f>
        <v>298400</v>
      </c>
      <c r="I285" s="675">
        <f>E285*KhongOndinhSX</f>
        <v>0</v>
      </c>
      <c r="J285" s="675">
        <f>E285*thuhut</f>
        <v>0</v>
      </c>
      <c r="K285" s="675"/>
      <c r="L285" s="675"/>
      <c r="M285" s="675">
        <f>ROUND(SUM(E285:L285)/26,0)</f>
        <v>340908</v>
      </c>
    </row>
    <row r="286" spans="1:13">
      <c r="A286" s="391" t="s">
        <v>439</v>
      </c>
      <c r="B286" s="678"/>
      <c r="C286" s="685"/>
      <c r="D286" s="685"/>
      <c r="E286" s="686"/>
      <c r="F286" s="686"/>
      <c r="G286" s="686"/>
      <c r="H286" s="686"/>
      <c r="I286" s="686"/>
      <c r="J286" s="686"/>
      <c r="K286" s="686"/>
      <c r="L286" s="686"/>
      <c r="M286" s="675"/>
    </row>
    <row r="287" spans="1:13">
      <c r="A287" s="678" t="s">
        <v>477</v>
      </c>
      <c r="B287" s="678"/>
      <c r="C287" s="685"/>
      <c r="D287" s="685"/>
      <c r="E287" s="686"/>
      <c r="F287" s="686"/>
      <c r="G287" s="686"/>
      <c r="H287" s="686"/>
      <c r="I287" s="686"/>
      <c r="J287" s="686"/>
      <c r="K287" s="686"/>
      <c r="L287" s="686"/>
      <c r="M287" s="675"/>
    </row>
    <row r="288" spans="1:13">
      <c r="A288" s="697"/>
      <c r="B288" s="697"/>
      <c r="C288" s="760" t="s">
        <v>820</v>
      </c>
      <c r="D288" s="698">
        <v>2.0499999999999998</v>
      </c>
      <c r="E288" s="675">
        <f>D288*LTTV</f>
        <v>4099999.9999999995</v>
      </c>
      <c r="F288" s="675">
        <f>$F$10</f>
        <v>210000</v>
      </c>
      <c r="G288" s="675">
        <f>E288*luongphu</f>
        <v>491999.99999999994</v>
      </c>
      <c r="H288" s="675">
        <f>E288*khoantructiep</f>
        <v>163999.99999999997</v>
      </c>
      <c r="I288" s="675">
        <f>E288*KhongOndinhSX</f>
        <v>0</v>
      </c>
      <c r="J288" s="675">
        <f>E288*thuhut</f>
        <v>0</v>
      </c>
      <c r="K288" s="675"/>
      <c r="L288" s="675"/>
      <c r="M288" s="675">
        <f>ROUND(SUM(E288:L288)/26,0)</f>
        <v>191000</v>
      </c>
    </row>
    <row r="289" spans="1:13">
      <c r="A289" s="697"/>
      <c r="B289" s="697"/>
      <c r="C289" s="761" t="s">
        <v>821</v>
      </c>
      <c r="D289" s="698">
        <v>2.35</v>
      </c>
      <c r="E289" s="675">
        <f>D289*LTTV</f>
        <v>4700000</v>
      </c>
      <c r="F289" s="675">
        <f>$F$10</f>
        <v>210000</v>
      </c>
      <c r="G289" s="675">
        <f>E289*luongphu</f>
        <v>564000</v>
      </c>
      <c r="H289" s="675">
        <f>E289*khoantructiep</f>
        <v>188000</v>
      </c>
      <c r="I289" s="675">
        <f>E289*KhongOndinhSX</f>
        <v>0</v>
      </c>
      <c r="J289" s="675">
        <f>E289*thuhut</f>
        <v>0</v>
      </c>
      <c r="K289" s="675"/>
      <c r="L289" s="675"/>
      <c r="M289" s="675">
        <f>ROUND(SUM(E289:L289)/26,0)</f>
        <v>217769</v>
      </c>
    </row>
    <row r="290" spans="1:13">
      <c r="A290" s="697"/>
      <c r="B290" s="697"/>
      <c r="C290" s="761" t="s">
        <v>822</v>
      </c>
      <c r="D290" s="698">
        <v>2.66</v>
      </c>
      <c r="E290" s="675">
        <f>D290*LTTV</f>
        <v>5320000</v>
      </c>
      <c r="F290" s="675">
        <f>$F$10</f>
        <v>210000</v>
      </c>
      <c r="G290" s="675">
        <f>E290*luongphu</f>
        <v>638400</v>
      </c>
      <c r="H290" s="675">
        <f>E290*khoantructiep</f>
        <v>212800</v>
      </c>
      <c r="I290" s="675">
        <f>E290*KhongOndinhSX</f>
        <v>0</v>
      </c>
      <c r="J290" s="675">
        <f>E290*thuhut</f>
        <v>0</v>
      </c>
      <c r="K290" s="675"/>
      <c r="L290" s="675"/>
      <c r="M290" s="675">
        <f>ROUND(SUM(E290:L290)/26,0)</f>
        <v>245431</v>
      </c>
    </row>
    <row r="291" spans="1:13">
      <c r="A291" s="697"/>
      <c r="B291" s="697"/>
      <c r="C291" s="761" t="s">
        <v>823</v>
      </c>
      <c r="D291" s="698">
        <v>2.99</v>
      </c>
      <c r="E291" s="675">
        <f>D291*LTTV</f>
        <v>5980000</v>
      </c>
      <c r="F291" s="675">
        <f>$F$10</f>
        <v>210000</v>
      </c>
      <c r="G291" s="675">
        <f>E291*luongphu</f>
        <v>717600</v>
      </c>
      <c r="H291" s="675">
        <f>E291*khoantructiep</f>
        <v>239200</v>
      </c>
      <c r="I291" s="675">
        <f>E291*KhongOndinhSX</f>
        <v>0</v>
      </c>
      <c r="J291" s="675">
        <f>E291*thuhut</f>
        <v>0</v>
      </c>
      <c r="K291" s="675"/>
      <c r="L291" s="675"/>
      <c r="M291" s="675">
        <f>ROUND(SUM(E291:L291)/26,0)</f>
        <v>274877</v>
      </c>
    </row>
    <row r="292" spans="1:13">
      <c r="A292" s="678" t="s">
        <v>478</v>
      </c>
      <c r="B292" s="678"/>
      <c r="C292" s="685"/>
      <c r="D292" s="685"/>
      <c r="E292" s="686"/>
      <c r="F292" s="686"/>
      <c r="G292" s="686"/>
      <c r="H292" s="686"/>
      <c r="I292" s="686"/>
      <c r="J292" s="686"/>
      <c r="K292" s="686"/>
      <c r="L292" s="686"/>
      <c r="M292" s="675"/>
    </row>
    <row r="293" spans="1:13">
      <c r="A293" s="697"/>
      <c r="B293" s="697"/>
      <c r="C293" s="760" t="s">
        <v>820</v>
      </c>
      <c r="D293" s="698">
        <v>1.93</v>
      </c>
      <c r="E293" s="675">
        <f>D293*LTTV</f>
        <v>3860000</v>
      </c>
      <c r="F293" s="675">
        <f>$F$10</f>
        <v>210000</v>
      </c>
      <c r="G293" s="675">
        <f>E293*luongphu</f>
        <v>463200</v>
      </c>
      <c r="H293" s="675">
        <f>E293*khoantructiep</f>
        <v>154400</v>
      </c>
      <c r="I293" s="675">
        <f>E293*KhongOndinhSX</f>
        <v>0</v>
      </c>
      <c r="J293" s="675">
        <f>E293*thuhut</f>
        <v>0</v>
      </c>
      <c r="K293" s="675"/>
      <c r="L293" s="675"/>
      <c r="M293" s="675">
        <f>ROUND(SUM(E293:L293)/26,0)</f>
        <v>180292</v>
      </c>
    </row>
    <row r="294" spans="1:13">
      <c r="A294" s="697"/>
      <c r="B294" s="697"/>
      <c r="C294" s="761" t="s">
        <v>821</v>
      </c>
      <c r="D294" s="698">
        <v>2.1800000000000002</v>
      </c>
      <c r="E294" s="675">
        <f>D294*LTTV</f>
        <v>4360000</v>
      </c>
      <c r="F294" s="675">
        <f>$F$10</f>
        <v>210000</v>
      </c>
      <c r="G294" s="675">
        <f>E294*luongphu</f>
        <v>523200</v>
      </c>
      <c r="H294" s="675">
        <f>E294*khoantructiep</f>
        <v>174400</v>
      </c>
      <c r="I294" s="675">
        <f>E294*KhongOndinhSX</f>
        <v>0</v>
      </c>
      <c r="J294" s="675">
        <f>E294*thuhut</f>
        <v>0</v>
      </c>
      <c r="K294" s="675"/>
      <c r="L294" s="675"/>
      <c r="M294" s="675">
        <f>ROUND(SUM(E294:L294)/26,0)</f>
        <v>202600</v>
      </c>
    </row>
    <row r="295" spans="1:13" ht="16.5">
      <c r="A295" s="697"/>
      <c r="B295" s="759" t="s">
        <v>826</v>
      </c>
      <c r="C295" s="761" t="s">
        <v>822</v>
      </c>
      <c r="D295" s="698">
        <v>2.5099999999999998</v>
      </c>
      <c r="E295" s="675">
        <f>D295*LTTV</f>
        <v>5020000</v>
      </c>
      <c r="F295" s="675">
        <f>$F$10</f>
        <v>210000</v>
      </c>
      <c r="G295" s="675">
        <f>E295*luongphu</f>
        <v>602400</v>
      </c>
      <c r="H295" s="675">
        <f>E295*khoantructiep</f>
        <v>200800</v>
      </c>
      <c r="I295" s="675">
        <f>E295*KhongOndinhSX</f>
        <v>0</v>
      </c>
      <c r="J295" s="675">
        <f>E295*thuhut</f>
        <v>0</v>
      </c>
      <c r="K295" s="675"/>
      <c r="L295" s="675"/>
      <c r="M295" s="675">
        <f>ROUND(SUM(E295:L295)/26,0)</f>
        <v>232046</v>
      </c>
    </row>
    <row r="296" spans="1:13" ht="16.5">
      <c r="A296" s="697"/>
      <c r="B296" s="759" t="s">
        <v>827</v>
      </c>
      <c r="C296" s="761" t="s">
        <v>823</v>
      </c>
      <c r="D296" s="698">
        <v>2.83</v>
      </c>
      <c r="E296" s="675">
        <f>D296*LTTV</f>
        <v>5660000</v>
      </c>
      <c r="F296" s="675">
        <f>$F$10</f>
        <v>210000</v>
      </c>
      <c r="G296" s="675">
        <f>E296*luongphu</f>
        <v>679200</v>
      </c>
      <c r="H296" s="675">
        <f>E296*khoantructiep</f>
        <v>226400</v>
      </c>
      <c r="I296" s="675">
        <f>E296*KhongOndinhSX</f>
        <v>0</v>
      </c>
      <c r="J296" s="675">
        <f>E296*thuhut</f>
        <v>0</v>
      </c>
      <c r="K296" s="675"/>
      <c r="L296" s="675"/>
      <c r="M296" s="675">
        <f>ROUND(SUM(E296:L296)/26,0)</f>
        <v>260600</v>
      </c>
    </row>
    <row r="297" spans="1:13">
      <c r="A297" s="678" t="s">
        <v>450</v>
      </c>
      <c r="B297" s="678"/>
      <c r="C297" s="685"/>
      <c r="D297" s="685"/>
      <c r="E297" s="686"/>
      <c r="F297" s="686"/>
      <c r="G297" s="686"/>
      <c r="H297" s="686"/>
      <c r="I297" s="686"/>
      <c r="J297" s="686"/>
      <c r="K297" s="686"/>
      <c r="L297" s="686"/>
      <c r="M297" s="675"/>
    </row>
    <row r="298" spans="1:13">
      <c r="A298" s="697"/>
      <c r="B298" s="697"/>
      <c r="C298" s="760" t="s">
        <v>820</v>
      </c>
      <c r="D298" s="698">
        <v>1.55</v>
      </c>
      <c r="E298" s="675">
        <f>D298*LTTV</f>
        <v>3100000</v>
      </c>
      <c r="F298" s="675">
        <f>$F$10</f>
        <v>210000</v>
      </c>
      <c r="G298" s="675">
        <f>E298*luongphu</f>
        <v>372000</v>
      </c>
      <c r="H298" s="675">
        <f>E298*khoantructiep</f>
        <v>124000</v>
      </c>
      <c r="I298" s="675">
        <f>E298*KhongOndinhSX</f>
        <v>0</v>
      </c>
      <c r="J298" s="675">
        <f>E298*thuhut</f>
        <v>0</v>
      </c>
      <c r="K298" s="675"/>
      <c r="L298" s="675"/>
      <c r="M298" s="675">
        <f>ROUND(SUM(E298:L298)/26,0)</f>
        <v>146385</v>
      </c>
    </row>
    <row r="299" spans="1:13">
      <c r="A299" s="697"/>
      <c r="B299" s="697"/>
      <c r="C299" s="761" t="s">
        <v>821</v>
      </c>
      <c r="D299" s="698">
        <v>1.75</v>
      </c>
      <c r="E299" s="675">
        <f>D299*LTTV</f>
        <v>3500000</v>
      </c>
      <c r="F299" s="675">
        <f>$F$10</f>
        <v>210000</v>
      </c>
      <c r="G299" s="675">
        <f>E299*luongphu</f>
        <v>420000</v>
      </c>
      <c r="H299" s="675">
        <f>E299*khoantructiep</f>
        <v>140000</v>
      </c>
      <c r="I299" s="675">
        <f>E299*KhongOndinhSX</f>
        <v>0</v>
      </c>
      <c r="J299" s="675">
        <f>E299*thuhut</f>
        <v>0</v>
      </c>
      <c r="K299" s="675"/>
      <c r="L299" s="675"/>
      <c r="M299" s="675">
        <f>ROUND(SUM(E299:L299)/26,0)</f>
        <v>164231</v>
      </c>
    </row>
    <row r="300" spans="1:13" ht="16.5">
      <c r="A300" s="697"/>
      <c r="B300" s="756" t="s">
        <v>845</v>
      </c>
      <c r="C300" s="761" t="s">
        <v>819</v>
      </c>
      <c r="D300" s="698">
        <v>1.96</v>
      </c>
      <c r="E300" s="675">
        <f>D300*LTTV</f>
        <v>3920000</v>
      </c>
      <c r="F300" s="675">
        <f>$F$10</f>
        <v>210000</v>
      </c>
      <c r="G300" s="675">
        <f>E300*luongphu</f>
        <v>470400</v>
      </c>
      <c r="H300" s="675">
        <f>E300*khoantructiep</f>
        <v>156800</v>
      </c>
      <c r="I300" s="675">
        <f>E300*KhongOndinhSX</f>
        <v>0</v>
      </c>
      <c r="J300" s="675">
        <f>E300*thuhut</f>
        <v>0</v>
      </c>
      <c r="K300" s="675"/>
      <c r="L300" s="675"/>
      <c r="M300" s="675">
        <f>ROUND(SUM(E300:L300)/26,0)</f>
        <v>182969</v>
      </c>
    </row>
    <row r="301" spans="1:13" ht="16.5">
      <c r="A301" s="697"/>
      <c r="B301" s="756" t="s">
        <v>846</v>
      </c>
      <c r="C301" s="761" t="s">
        <v>822</v>
      </c>
      <c r="D301" s="698">
        <v>2.0499999999999998</v>
      </c>
      <c r="E301" s="675">
        <f>D301*LTTV</f>
        <v>4099999.9999999995</v>
      </c>
      <c r="F301" s="675">
        <f>$F$10</f>
        <v>210000</v>
      </c>
      <c r="G301" s="675">
        <f>E301*luongphu</f>
        <v>491999.99999999994</v>
      </c>
      <c r="H301" s="675">
        <f>E301*khoantructiep</f>
        <v>163999.99999999997</v>
      </c>
      <c r="I301" s="675">
        <f>E301*KhongOndinhSX</f>
        <v>0</v>
      </c>
      <c r="J301" s="675">
        <f>E301*thuhut</f>
        <v>0</v>
      </c>
      <c r="K301" s="675"/>
      <c r="L301" s="675"/>
      <c r="M301" s="675">
        <f>ROUND(SUM(E301:L301)/26,0)</f>
        <v>191000</v>
      </c>
    </row>
    <row r="302" spans="1:13">
      <c r="A302" s="697"/>
      <c r="B302" s="697"/>
      <c r="C302" s="761" t="s">
        <v>823</v>
      </c>
      <c r="D302" s="698">
        <v>2.35</v>
      </c>
      <c r="E302" s="675">
        <f>D302*LTTV</f>
        <v>4700000</v>
      </c>
      <c r="F302" s="675">
        <f>$F$10</f>
        <v>210000</v>
      </c>
      <c r="G302" s="675">
        <f>E302*luongphu</f>
        <v>564000</v>
      </c>
      <c r="H302" s="675">
        <f>E302*khoantructiep</f>
        <v>188000</v>
      </c>
      <c r="I302" s="675">
        <f>E302*KhongOndinhSX</f>
        <v>0</v>
      </c>
      <c r="J302" s="675">
        <f>E302*thuhut</f>
        <v>0</v>
      </c>
      <c r="K302" s="675"/>
      <c r="L302" s="675"/>
      <c r="M302" s="675">
        <f>ROUND(SUM(E302:L302)/26,0)</f>
        <v>217769</v>
      </c>
    </row>
    <row r="303" spans="1:13">
      <c r="A303" s="678" t="s">
        <v>479</v>
      </c>
      <c r="B303" s="678"/>
      <c r="C303" s="685"/>
      <c r="D303" s="685"/>
      <c r="E303" s="686"/>
      <c r="F303" s="686"/>
      <c r="G303" s="686"/>
      <c r="H303" s="686"/>
      <c r="I303" s="686"/>
      <c r="J303" s="686"/>
      <c r="K303" s="686"/>
      <c r="L303" s="686"/>
      <c r="M303" s="675"/>
    </row>
    <row r="304" spans="1:13">
      <c r="A304" s="697"/>
      <c r="B304" s="1258" t="s">
        <v>1130</v>
      </c>
      <c r="C304" s="760" t="s">
        <v>820</v>
      </c>
      <c r="D304" s="698">
        <v>1.75</v>
      </c>
      <c r="E304" s="675">
        <f>D304*LTTV</f>
        <v>3500000</v>
      </c>
      <c r="F304" s="675">
        <f>$F$10</f>
        <v>210000</v>
      </c>
      <c r="G304" s="675">
        <f>E304*luongphu</f>
        <v>420000</v>
      </c>
      <c r="H304" s="675">
        <f>E304*khoantructiep</f>
        <v>140000</v>
      </c>
      <c r="I304" s="675">
        <f>E304*KhongOndinhSX</f>
        <v>0</v>
      </c>
      <c r="J304" s="675">
        <f>E304*thuhut</f>
        <v>0</v>
      </c>
      <c r="K304" s="675"/>
      <c r="L304" s="675"/>
      <c r="M304" s="675">
        <f>ROUND(SUM(E304:L304)/26,0)</f>
        <v>164231</v>
      </c>
    </row>
    <row r="305" spans="1:13">
      <c r="A305" s="697"/>
      <c r="B305" s="1258" t="s">
        <v>1131</v>
      </c>
      <c r="C305" s="761" t="s">
        <v>821</v>
      </c>
      <c r="D305" s="698">
        <v>1.99</v>
      </c>
      <c r="E305" s="675">
        <f>D305*LTTV</f>
        <v>3980000</v>
      </c>
      <c r="F305" s="675">
        <f>$F$10</f>
        <v>210000</v>
      </c>
      <c r="G305" s="675">
        <f>E305*luongphu</f>
        <v>477600</v>
      </c>
      <c r="H305" s="675">
        <f>E305*khoantructiep</f>
        <v>159200</v>
      </c>
      <c r="I305" s="675">
        <f>E305*KhongOndinhSX</f>
        <v>0</v>
      </c>
      <c r="J305" s="675">
        <f>E305*thuhut</f>
        <v>0</v>
      </c>
      <c r="K305" s="675"/>
      <c r="L305" s="675"/>
      <c r="M305" s="675">
        <f>ROUND(SUM(E305:L305)/26,0)</f>
        <v>185646</v>
      </c>
    </row>
    <row r="306" spans="1:13">
      <c r="A306" s="697"/>
      <c r="B306" s="1258" t="s">
        <v>1132</v>
      </c>
      <c r="C306" s="761" t="s">
        <v>822</v>
      </c>
      <c r="D306" s="698">
        <v>2.35</v>
      </c>
      <c r="E306" s="675">
        <f>D306*LTTV</f>
        <v>4700000</v>
      </c>
      <c r="F306" s="675">
        <f>$F$10</f>
        <v>210000</v>
      </c>
      <c r="G306" s="675">
        <f>E306*luongphu</f>
        <v>564000</v>
      </c>
      <c r="H306" s="675">
        <f>E306*khoantructiep</f>
        <v>188000</v>
      </c>
      <c r="I306" s="675">
        <f>E306*KhongOndinhSX</f>
        <v>0</v>
      </c>
      <c r="J306" s="675">
        <f>E306*thuhut</f>
        <v>0</v>
      </c>
      <c r="K306" s="675"/>
      <c r="L306" s="675"/>
      <c r="M306" s="675">
        <f>ROUND(SUM(E306:L306)/26,0)</f>
        <v>217769</v>
      </c>
    </row>
    <row r="307" spans="1:13">
      <c r="A307" s="697"/>
      <c r="B307" s="1258" t="s">
        <v>1133</v>
      </c>
      <c r="C307" s="761" t="s">
        <v>823</v>
      </c>
      <c r="D307" s="698">
        <v>2.66</v>
      </c>
      <c r="E307" s="675">
        <f>D307*LTTV</f>
        <v>5320000</v>
      </c>
      <c r="F307" s="675">
        <f>$F$10</f>
        <v>210000</v>
      </c>
      <c r="G307" s="675">
        <f>E307*luongphu</f>
        <v>638400</v>
      </c>
      <c r="H307" s="675">
        <f>E307*khoantructiep</f>
        <v>212800</v>
      </c>
      <c r="I307" s="675">
        <f>E307*KhongOndinhSX</f>
        <v>0</v>
      </c>
      <c r="J307" s="675">
        <f>E307*thuhut</f>
        <v>0</v>
      </c>
      <c r="K307" s="675"/>
      <c r="L307" s="675"/>
      <c r="M307" s="675">
        <f>ROUND(SUM(E307:L307)/26,0)</f>
        <v>245431</v>
      </c>
    </row>
    <row r="308" spans="1:13" ht="14.1" customHeight="1">
      <c r="A308" s="700" t="s">
        <v>463</v>
      </c>
      <c r="B308" s="700"/>
      <c r="C308" s="701"/>
      <c r="D308" s="702"/>
      <c r="E308" s="703"/>
      <c r="F308" s="703"/>
      <c r="G308" s="703"/>
      <c r="H308" s="703"/>
      <c r="I308" s="703"/>
      <c r="J308" s="703"/>
      <c r="K308" s="703"/>
      <c r="L308" s="703"/>
      <c r="M308" s="703"/>
    </row>
    <row r="309" spans="1:13" ht="14.1" customHeight="1">
      <c r="A309" s="700" t="s">
        <v>792</v>
      </c>
      <c r="B309" s="700"/>
      <c r="C309" s="701"/>
      <c r="D309" s="702"/>
      <c r="E309" s="703"/>
      <c r="F309" s="703"/>
      <c r="G309" s="703"/>
      <c r="H309" s="703"/>
      <c r="I309" s="703"/>
      <c r="J309" s="703"/>
      <c r="K309" s="703"/>
      <c r="L309" s="703"/>
      <c r="M309" s="703"/>
    </row>
    <row r="310" spans="1:13">
      <c r="A310" s="692" t="s">
        <v>480</v>
      </c>
      <c r="B310" s="692"/>
      <c r="C310" s="691"/>
      <c r="D310" s="694"/>
      <c r="E310" s="695"/>
      <c r="F310" s="695"/>
      <c r="G310" s="695"/>
      <c r="H310" s="695"/>
      <c r="I310" s="686"/>
      <c r="J310" s="686"/>
      <c r="K310" s="686"/>
      <c r="L310" s="686"/>
      <c r="M310" s="686"/>
    </row>
    <row r="311" spans="1:13">
      <c r="A311" s="692" t="s">
        <v>793</v>
      </c>
      <c r="B311" s="692"/>
      <c r="C311" s="691"/>
      <c r="D311" s="694"/>
      <c r="E311" s="695"/>
      <c r="F311" s="695"/>
      <c r="G311" s="695"/>
      <c r="H311" s="695"/>
      <c r="I311" s="686"/>
      <c r="J311" s="686"/>
      <c r="K311" s="686"/>
      <c r="L311" s="686"/>
      <c r="M311" s="686"/>
    </row>
    <row r="312" spans="1:13">
      <c r="A312" s="391" t="s">
        <v>456</v>
      </c>
      <c r="B312" s="678"/>
      <c r="C312" s="685"/>
      <c r="D312" s="685"/>
      <c r="E312" s="686"/>
      <c r="F312" s="686"/>
      <c r="G312" s="686"/>
      <c r="H312" s="686"/>
      <c r="I312" s="686"/>
      <c r="J312" s="686"/>
      <c r="K312" s="686"/>
      <c r="L312" s="686"/>
      <c r="M312" s="675"/>
    </row>
    <row r="313" spans="1:13">
      <c r="A313" s="678" t="s">
        <v>481</v>
      </c>
      <c r="B313" s="678"/>
      <c r="C313" s="685"/>
      <c r="D313" s="685"/>
      <c r="E313" s="686"/>
      <c r="F313" s="686"/>
      <c r="G313" s="686"/>
      <c r="H313" s="686"/>
      <c r="I313" s="686"/>
      <c r="J313" s="686"/>
      <c r="K313" s="686"/>
      <c r="L313" s="686"/>
      <c r="M313" s="675"/>
    </row>
    <row r="314" spans="1:13">
      <c r="A314" s="678" t="s">
        <v>482</v>
      </c>
      <c r="B314" s="678"/>
      <c r="C314" s="685"/>
      <c r="D314" s="685"/>
      <c r="E314" s="686"/>
      <c r="F314" s="686"/>
      <c r="G314" s="686"/>
      <c r="H314" s="686"/>
      <c r="I314" s="686"/>
      <c r="J314" s="686"/>
      <c r="K314" s="686"/>
      <c r="L314" s="686"/>
      <c r="M314" s="675"/>
    </row>
    <row r="315" spans="1:13">
      <c r="A315" s="697"/>
      <c r="B315" s="697"/>
      <c r="C315" s="685"/>
      <c r="D315" s="698">
        <v>5.19</v>
      </c>
      <c r="E315" s="675">
        <f>D315*LTTV</f>
        <v>10380000</v>
      </c>
      <c r="F315" s="675">
        <f>$F$10</f>
        <v>210000</v>
      </c>
      <c r="G315" s="675">
        <f>E315*luongphu</f>
        <v>1245600</v>
      </c>
      <c r="H315" s="675">
        <f>E315*khoantructiep</f>
        <v>415200</v>
      </c>
      <c r="I315" s="675">
        <f>E315*KhongOndinhSX</f>
        <v>0</v>
      </c>
      <c r="J315" s="675">
        <f>E315*thuhut</f>
        <v>0</v>
      </c>
      <c r="K315" s="675"/>
      <c r="L315" s="675"/>
      <c r="M315" s="675">
        <f>ROUND(SUM(E315:L315)/26,0)</f>
        <v>471185</v>
      </c>
    </row>
    <row r="316" spans="1:13">
      <c r="A316" s="697"/>
      <c r="B316" s="697"/>
      <c r="C316" s="713"/>
      <c r="D316" s="698">
        <v>5.41</v>
      </c>
      <c r="E316" s="675">
        <f>D316*LTTV</f>
        <v>10820000</v>
      </c>
      <c r="F316" s="675">
        <f>$F$10</f>
        <v>210000</v>
      </c>
      <c r="G316" s="675">
        <f>E316*luongphu</f>
        <v>1298400</v>
      </c>
      <c r="H316" s="675">
        <f>E316*khoantructiep</f>
        <v>432800</v>
      </c>
      <c r="I316" s="675">
        <f>E316*KhongOndinhSX</f>
        <v>0</v>
      </c>
      <c r="J316" s="675">
        <f>E316*thuhut</f>
        <v>0</v>
      </c>
      <c r="K316" s="675"/>
      <c r="L316" s="675"/>
      <c r="M316" s="675">
        <f>ROUND(SUM(E316:L316)/26,0)</f>
        <v>490815</v>
      </c>
    </row>
    <row r="317" spans="1:13">
      <c r="A317" s="678" t="s">
        <v>483</v>
      </c>
      <c r="B317" s="678"/>
      <c r="C317" s="714"/>
      <c r="D317" s="714"/>
      <c r="E317" s="712"/>
      <c r="F317" s="712"/>
      <c r="G317" s="675"/>
      <c r="H317" s="675"/>
      <c r="I317" s="675"/>
      <c r="J317" s="675"/>
      <c r="K317" s="675"/>
      <c r="L317" s="675"/>
      <c r="M317" s="675"/>
    </row>
    <row r="318" spans="1:13">
      <c r="A318" s="697"/>
      <c r="B318" s="697"/>
      <c r="C318" s="685"/>
      <c r="D318" s="698">
        <v>5.41</v>
      </c>
      <c r="E318" s="675">
        <f>D318*LTTV</f>
        <v>10820000</v>
      </c>
      <c r="F318" s="675">
        <f>$F$10</f>
        <v>210000</v>
      </c>
      <c r="G318" s="675">
        <f>E318*luongphu</f>
        <v>1298400</v>
      </c>
      <c r="H318" s="675">
        <f>E318*khoantructiep</f>
        <v>432800</v>
      </c>
      <c r="I318" s="675">
        <f>E318*KhongOndinhSX</f>
        <v>0</v>
      </c>
      <c r="J318" s="675">
        <f>E318*thuhut</f>
        <v>0</v>
      </c>
      <c r="K318" s="675"/>
      <c r="L318" s="675"/>
      <c r="M318" s="675">
        <f>ROUND(SUM(E318:L318)/26,0)</f>
        <v>490815</v>
      </c>
    </row>
    <row r="319" spans="1:13">
      <c r="A319" s="697"/>
      <c r="B319" s="697"/>
      <c r="C319" s="696"/>
      <c r="D319" s="698">
        <v>5.75</v>
      </c>
      <c r="E319" s="675">
        <f>D319*LTTV</f>
        <v>11500000</v>
      </c>
      <c r="F319" s="675">
        <f>$F$10</f>
        <v>210000</v>
      </c>
      <c r="G319" s="675">
        <f>E319*luongphu</f>
        <v>1380000</v>
      </c>
      <c r="H319" s="675">
        <f>E319*khoantructiep</f>
        <v>460000</v>
      </c>
      <c r="I319" s="675">
        <f>E319*KhongOndinhSX</f>
        <v>0</v>
      </c>
      <c r="J319" s="675">
        <f>E319*thuhut</f>
        <v>0</v>
      </c>
      <c r="K319" s="675"/>
      <c r="L319" s="675"/>
      <c r="M319" s="675">
        <f>ROUND(SUM(E319:L319)/26,0)</f>
        <v>521154</v>
      </c>
    </row>
    <row r="320" spans="1:13">
      <c r="A320" s="678" t="s">
        <v>484</v>
      </c>
      <c r="B320" s="678"/>
      <c r="C320" s="685"/>
      <c r="D320" s="685"/>
      <c r="E320" s="686"/>
      <c r="F320" s="686"/>
      <c r="G320" s="686"/>
      <c r="H320" s="686"/>
      <c r="I320" s="686"/>
      <c r="J320" s="686"/>
      <c r="K320" s="686"/>
      <c r="L320" s="686"/>
      <c r="M320" s="675"/>
    </row>
    <row r="321" spans="1:13">
      <c r="A321" s="697"/>
      <c r="B321" s="697"/>
      <c r="C321" s="685"/>
      <c r="D321" s="698">
        <v>4.92</v>
      </c>
      <c r="E321" s="675">
        <f>D321*LTTV</f>
        <v>9840000</v>
      </c>
      <c r="F321" s="675">
        <f>$F$10</f>
        <v>210000</v>
      </c>
      <c r="G321" s="675">
        <f>E321*luongphu</f>
        <v>1180800</v>
      </c>
      <c r="H321" s="675">
        <f>E321*khoantructiep</f>
        <v>393600</v>
      </c>
      <c r="I321" s="675">
        <f>E321*KhongOndinhSX</f>
        <v>0</v>
      </c>
      <c r="J321" s="675">
        <f>E321*thuhut</f>
        <v>0</v>
      </c>
      <c r="K321" s="675"/>
      <c r="L321" s="675"/>
      <c r="M321" s="675">
        <f>ROUND(SUM(E321:L321)/26,0)</f>
        <v>447092</v>
      </c>
    </row>
    <row r="322" spans="1:13">
      <c r="A322" s="697"/>
      <c r="B322" s="697"/>
      <c r="C322" s="685"/>
      <c r="D322" s="698">
        <v>5.19</v>
      </c>
      <c r="E322" s="675">
        <f>D322*LTTV</f>
        <v>10380000</v>
      </c>
      <c r="F322" s="675">
        <f>$F$10</f>
        <v>210000</v>
      </c>
      <c r="G322" s="675">
        <f>E322*luongphu</f>
        <v>1245600</v>
      </c>
      <c r="H322" s="675">
        <f>E322*khoantructiep</f>
        <v>415200</v>
      </c>
      <c r="I322" s="675">
        <f>E322*KhongOndinhSX</f>
        <v>0</v>
      </c>
      <c r="J322" s="675">
        <f>E322*thuhut</f>
        <v>0</v>
      </c>
      <c r="K322" s="675"/>
      <c r="L322" s="675"/>
      <c r="M322" s="675">
        <f>ROUND(SUM(E322:L322)/26,0)</f>
        <v>471185</v>
      </c>
    </row>
    <row r="323" spans="1:13">
      <c r="A323" s="697"/>
      <c r="B323" s="697"/>
      <c r="C323" s="685"/>
      <c r="D323" s="698">
        <v>5.19</v>
      </c>
      <c r="E323" s="675">
        <f>D323*LTTV</f>
        <v>10380000</v>
      </c>
      <c r="F323" s="675">
        <f>$F$10</f>
        <v>210000</v>
      </c>
      <c r="G323" s="675">
        <f>E323*luongphu</f>
        <v>1245600</v>
      </c>
      <c r="H323" s="675">
        <f>E323*khoantructiep</f>
        <v>415200</v>
      </c>
      <c r="I323" s="675">
        <f>E323*KhongOndinhSX</f>
        <v>0</v>
      </c>
      <c r="J323" s="675">
        <f>E323*thuhut</f>
        <v>0</v>
      </c>
      <c r="K323" s="675"/>
      <c r="L323" s="675"/>
      <c r="M323" s="675">
        <f>ROUND(SUM(E323:L323)/26,0)</f>
        <v>471185</v>
      </c>
    </row>
    <row r="324" spans="1:13">
      <c r="A324" s="697"/>
      <c r="B324" s="697"/>
      <c r="C324" s="685"/>
      <c r="D324" s="698">
        <v>5.41</v>
      </c>
      <c r="E324" s="675">
        <f>D324*LTTV</f>
        <v>10820000</v>
      </c>
      <c r="F324" s="675">
        <f>$F$10</f>
        <v>210000</v>
      </c>
      <c r="G324" s="675">
        <f>E324*luongphu</f>
        <v>1298400</v>
      </c>
      <c r="H324" s="675">
        <f>E324*khoantructiep</f>
        <v>432800</v>
      </c>
      <c r="I324" s="675">
        <f>E324*KhongOndinhSX</f>
        <v>0</v>
      </c>
      <c r="J324" s="675">
        <f>E324*thuhut</f>
        <v>0</v>
      </c>
      <c r="K324" s="675"/>
      <c r="L324" s="675"/>
      <c r="M324" s="675">
        <f>ROUND(SUM(E324:L324)/26,0)</f>
        <v>490815</v>
      </c>
    </row>
    <row r="325" spans="1:13">
      <c r="A325" s="678" t="s">
        <v>485</v>
      </c>
      <c r="B325" s="678"/>
      <c r="C325" s="685"/>
      <c r="D325" s="685"/>
      <c r="E325" s="686"/>
      <c r="F325" s="686"/>
      <c r="G325" s="686"/>
      <c r="H325" s="686"/>
      <c r="I325" s="686"/>
      <c r="J325" s="686"/>
      <c r="K325" s="686"/>
      <c r="L325" s="686"/>
      <c r="M325" s="675"/>
    </row>
    <row r="326" spans="1:13">
      <c r="A326" s="678" t="s">
        <v>486</v>
      </c>
      <c r="B326" s="678"/>
      <c r="C326" s="685"/>
      <c r="D326" s="685"/>
      <c r="E326" s="686"/>
      <c r="F326" s="686"/>
      <c r="G326" s="686"/>
      <c r="H326" s="686"/>
      <c r="I326" s="686"/>
      <c r="J326" s="686"/>
      <c r="K326" s="686"/>
      <c r="L326" s="686"/>
      <c r="M326" s="675"/>
    </row>
    <row r="327" spans="1:13">
      <c r="A327" s="697"/>
      <c r="B327" s="697"/>
      <c r="C327" s="685"/>
      <c r="D327" s="698">
        <v>4.37</v>
      </c>
      <c r="E327" s="675">
        <f>D327*LTTV</f>
        <v>8740000</v>
      </c>
      <c r="F327" s="675">
        <f>$F$10</f>
        <v>210000</v>
      </c>
      <c r="G327" s="675">
        <f>E327*luongphu</f>
        <v>1048800</v>
      </c>
      <c r="H327" s="675">
        <f>E327*khoantructiep</f>
        <v>349600</v>
      </c>
      <c r="I327" s="675">
        <f>E327*KhongOndinhSX</f>
        <v>0</v>
      </c>
      <c r="J327" s="675">
        <f>E327*thuhut</f>
        <v>0</v>
      </c>
      <c r="K327" s="675"/>
      <c r="L327" s="675"/>
      <c r="M327" s="675">
        <f>ROUND(SUM(E327:L327)/26,0)</f>
        <v>398015</v>
      </c>
    </row>
    <row r="328" spans="1:13">
      <c r="A328" s="697"/>
      <c r="B328" s="697"/>
      <c r="C328" s="685"/>
      <c r="D328" s="698">
        <v>4.68</v>
      </c>
      <c r="E328" s="675">
        <f>D328*LTTV</f>
        <v>9360000</v>
      </c>
      <c r="F328" s="675">
        <f>$F$10</f>
        <v>210000</v>
      </c>
      <c r="G328" s="675">
        <f>E328*luongphu</f>
        <v>1123200</v>
      </c>
      <c r="H328" s="675">
        <f>E328*khoantructiep</f>
        <v>374400</v>
      </c>
      <c r="I328" s="675">
        <f>E328*KhongOndinhSX</f>
        <v>0</v>
      </c>
      <c r="J328" s="675">
        <f>E328*thuhut</f>
        <v>0</v>
      </c>
      <c r="K328" s="675"/>
      <c r="L328" s="675"/>
      <c r="M328" s="675">
        <f>ROUND(SUM(E328:L328)/26,0)</f>
        <v>425677</v>
      </c>
    </row>
    <row r="329" spans="1:13">
      <c r="A329" s="697"/>
      <c r="B329" s="697"/>
      <c r="C329" s="685"/>
      <c r="D329" s="698">
        <v>4.68</v>
      </c>
      <c r="E329" s="675">
        <f>D329*LTTV</f>
        <v>9360000</v>
      </c>
      <c r="F329" s="675">
        <f>$F$10</f>
        <v>210000</v>
      </c>
      <c r="G329" s="675">
        <f>E329*luongphu</f>
        <v>1123200</v>
      </c>
      <c r="H329" s="675">
        <f>E329*khoantructiep</f>
        <v>374400</v>
      </c>
      <c r="I329" s="675">
        <f>E329*KhongOndinhSX</f>
        <v>0</v>
      </c>
      <c r="J329" s="675">
        <f>E329*thuhut</f>
        <v>0</v>
      </c>
      <c r="K329" s="675"/>
      <c r="L329" s="675"/>
      <c r="M329" s="675">
        <f>ROUND(SUM(E329:L329)/26,0)</f>
        <v>425677</v>
      </c>
    </row>
    <row r="330" spans="1:13">
      <c r="A330" s="697"/>
      <c r="B330" s="697"/>
      <c r="C330" s="685"/>
      <c r="D330" s="698">
        <v>4.92</v>
      </c>
      <c r="E330" s="675">
        <f>D330*LTTV</f>
        <v>9840000</v>
      </c>
      <c r="F330" s="675">
        <f>$F$10</f>
        <v>210000</v>
      </c>
      <c r="G330" s="675">
        <f>E330*luongphu</f>
        <v>1180800</v>
      </c>
      <c r="H330" s="675">
        <f>E330*khoantructiep</f>
        <v>393600</v>
      </c>
      <c r="I330" s="675">
        <f>E330*KhongOndinhSX</f>
        <v>0</v>
      </c>
      <c r="J330" s="675">
        <f>E330*thuhut</f>
        <v>0</v>
      </c>
      <c r="K330" s="675"/>
      <c r="L330" s="675"/>
      <c r="M330" s="675">
        <f>ROUND(SUM(E330:L330)/26,0)</f>
        <v>447092</v>
      </c>
    </row>
    <row r="331" spans="1:13">
      <c r="A331" s="678" t="s">
        <v>487</v>
      </c>
      <c r="B331" s="678"/>
      <c r="C331" s="685"/>
      <c r="D331" s="685"/>
      <c r="E331" s="686"/>
      <c r="F331" s="686"/>
      <c r="G331" s="686"/>
      <c r="H331" s="686"/>
      <c r="I331" s="686"/>
      <c r="J331" s="686"/>
      <c r="K331" s="686"/>
      <c r="L331" s="686"/>
      <c r="M331" s="675"/>
    </row>
    <row r="332" spans="1:13">
      <c r="A332" s="697"/>
      <c r="B332" s="697"/>
      <c r="C332" s="685"/>
      <c r="D332" s="698">
        <v>4.68</v>
      </c>
      <c r="E332" s="675">
        <f>D332*LTTV</f>
        <v>9360000</v>
      </c>
      <c r="F332" s="675">
        <f>$F$10</f>
        <v>210000</v>
      </c>
      <c r="G332" s="675">
        <f>E332*luongphu</f>
        <v>1123200</v>
      </c>
      <c r="H332" s="675">
        <f>E332*khoantructiep</f>
        <v>374400</v>
      </c>
      <c r="I332" s="675">
        <f>E332*KhongOndinhSX</f>
        <v>0</v>
      </c>
      <c r="J332" s="675">
        <f>E332*thuhut</f>
        <v>0</v>
      </c>
      <c r="K332" s="675"/>
      <c r="L332" s="675"/>
      <c r="M332" s="675">
        <f>ROUND(SUM(E332:L332)/26,0)</f>
        <v>425677</v>
      </c>
    </row>
    <row r="333" spans="1:13">
      <c r="A333" s="697"/>
      <c r="B333" s="697"/>
      <c r="C333" s="685"/>
      <c r="D333" s="698">
        <v>4.92</v>
      </c>
      <c r="E333" s="675">
        <f>D333*LTTV</f>
        <v>9840000</v>
      </c>
      <c r="F333" s="675">
        <f>$F$10</f>
        <v>210000</v>
      </c>
      <c r="G333" s="675">
        <f>E333*luongphu</f>
        <v>1180800</v>
      </c>
      <c r="H333" s="675">
        <f>E333*khoantructiep</f>
        <v>393600</v>
      </c>
      <c r="I333" s="675">
        <f>E333*KhongOndinhSX</f>
        <v>0</v>
      </c>
      <c r="J333" s="675">
        <f>E333*thuhut</f>
        <v>0</v>
      </c>
      <c r="K333" s="675"/>
      <c r="L333" s="675"/>
      <c r="M333" s="675">
        <f>ROUND(SUM(E333:L333)/26,0)</f>
        <v>447092</v>
      </c>
    </row>
    <row r="334" spans="1:13">
      <c r="A334" s="697"/>
      <c r="B334" s="697"/>
      <c r="C334" s="685"/>
      <c r="D334" s="698">
        <v>4.92</v>
      </c>
      <c r="E334" s="675">
        <f>D334*LTTV</f>
        <v>9840000</v>
      </c>
      <c r="F334" s="675">
        <f>$F$10</f>
        <v>210000</v>
      </c>
      <c r="G334" s="675">
        <f>E334*luongphu</f>
        <v>1180800</v>
      </c>
      <c r="H334" s="675">
        <f>E334*khoantructiep</f>
        <v>393600</v>
      </c>
      <c r="I334" s="675">
        <f>E334*KhongOndinhSX</f>
        <v>0</v>
      </c>
      <c r="J334" s="675">
        <f>E334*thuhut</f>
        <v>0</v>
      </c>
      <c r="K334" s="675"/>
      <c r="L334" s="675"/>
      <c r="M334" s="675">
        <f>ROUND(SUM(E334:L334)/26,0)</f>
        <v>447092</v>
      </c>
    </row>
    <row r="335" spans="1:13">
      <c r="A335" s="697"/>
      <c r="B335" s="697"/>
      <c r="C335" s="685"/>
      <c r="D335" s="698">
        <v>5.19</v>
      </c>
      <c r="E335" s="675">
        <f>D335*LTTV</f>
        <v>10380000</v>
      </c>
      <c r="F335" s="675">
        <f>$F$10</f>
        <v>210000</v>
      </c>
      <c r="G335" s="675">
        <f>E335*luongphu</f>
        <v>1245600</v>
      </c>
      <c r="H335" s="675">
        <f>E335*khoantructiep</f>
        <v>415200</v>
      </c>
      <c r="I335" s="675">
        <f>E335*KhongOndinhSX</f>
        <v>0</v>
      </c>
      <c r="J335" s="675">
        <f>E335*thuhut</f>
        <v>0</v>
      </c>
      <c r="K335" s="675"/>
      <c r="L335" s="675"/>
      <c r="M335" s="675">
        <f>ROUND(SUM(E335:L335)/26,0)</f>
        <v>471185</v>
      </c>
    </row>
    <row r="336" spans="1:13">
      <c r="A336" s="678" t="s">
        <v>610</v>
      </c>
      <c r="B336" s="678"/>
      <c r="C336" s="685"/>
      <c r="D336" s="685"/>
      <c r="E336" s="686"/>
      <c r="F336" s="686"/>
      <c r="G336" s="686"/>
      <c r="H336" s="686"/>
      <c r="I336" s="686"/>
      <c r="J336" s="686"/>
      <c r="K336" s="686"/>
      <c r="L336" s="686"/>
      <c r="M336" s="675"/>
    </row>
    <row r="337" spans="1:13">
      <c r="A337" s="678" t="s">
        <v>611</v>
      </c>
      <c r="B337" s="678"/>
      <c r="C337" s="685"/>
      <c r="D337" s="685"/>
      <c r="E337" s="686"/>
      <c r="F337" s="686"/>
      <c r="G337" s="686"/>
      <c r="H337" s="686"/>
      <c r="I337" s="686"/>
      <c r="J337" s="686"/>
      <c r="K337" s="686"/>
      <c r="L337" s="686"/>
      <c r="M337" s="675"/>
    </row>
    <row r="338" spans="1:13">
      <c r="A338" s="697"/>
      <c r="B338" s="697"/>
      <c r="C338" s="685"/>
      <c r="D338" s="698">
        <v>4.16</v>
      </c>
      <c r="E338" s="675">
        <f>D338*LTTV</f>
        <v>8320000</v>
      </c>
      <c r="F338" s="675">
        <f>$F$10</f>
        <v>210000</v>
      </c>
      <c r="G338" s="675">
        <f>E338*luongphu</f>
        <v>998400</v>
      </c>
      <c r="H338" s="675">
        <f>E338*khoantructiep</f>
        <v>332800</v>
      </c>
      <c r="I338" s="675">
        <f>E338*KhongOndinhSX</f>
        <v>0</v>
      </c>
      <c r="J338" s="675">
        <f>E338*thuhut</f>
        <v>0</v>
      </c>
      <c r="K338" s="675"/>
      <c r="L338" s="675"/>
      <c r="M338" s="675">
        <f>ROUND(SUM(E338:L338)/26,0)</f>
        <v>379277</v>
      </c>
    </row>
    <row r="339" spans="1:13">
      <c r="A339" s="697"/>
      <c r="B339" s="697"/>
      <c r="C339" s="685"/>
      <c r="D339" s="698">
        <v>4.37</v>
      </c>
      <c r="E339" s="675">
        <f>D339*LTTV</f>
        <v>8740000</v>
      </c>
      <c r="F339" s="675">
        <f>$F$10</f>
        <v>210000</v>
      </c>
      <c r="G339" s="675">
        <f>E339*luongphu</f>
        <v>1048800</v>
      </c>
      <c r="H339" s="675">
        <f>E339*khoantructiep</f>
        <v>349600</v>
      </c>
      <c r="I339" s="675">
        <f>E339*KhongOndinhSX</f>
        <v>0</v>
      </c>
      <c r="J339" s="675">
        <f>E339*thuhut</f>
        <v>0</v>
      </c>
      <c r="K339" s="675"/>
      <c r="L339" s="675"/>
      <c r="M339" s="675">
        <f>ROUND(SUM(E339:L339)/26,0)</f>
        <v>398015</v>
      </c>
    </row>
    <row r="340" spans="1:13">
      <c r="A340" s="697"/>
      <c r="B340" s="697"/>
      <c r="C340" s="685"/>
      <c r="D340" s="698">
        <v>4.37</v>
      </c>
      <c r="E340" s="675">
        <f>D340*LTTV</f>
        <v>8740000</v>
      </c>
      <c r="F340" s="675">
        <f>$F$10</f>
        <v>210000</v>
      </c>
      <c r="G340" s="675">
        <f>E340*luongphu</f>
        <v>1048800</v>
      </c>
      <c r="H340" s="675">
        <f>E340*khoantructiep</f>
        <v>349600</v>
      </c>
      <c r="I340" s="675">
        <f>E340*KhongOndinhSX</f>
        <v>0</v>
      </c>
      <c r="J340" s="675">
        <f>E340*thuhut</f>
        <v>0</v>
      </c>
      <c r="K340" s="675"/>
      <c r="L340" s="675"/>
      <c r="M340" s="675">
        <f>ROUND(SUM(E340:L340)/26,0)</f>
        <v>398015</v>
      </c>
    </row>
    <row r="341" spans="1:13">
      <c r="A341" s="697"/>
      <c r="B341" s="697"/>
      <c r="C341" s="685"/>
      <c r="D341" s="698">
        <v>4.68</v>
      </c>
      <c r="E341" s="675">
        <f>D341*LTTV</f>
        <v>9360000</v>
      </c>
      <c r="F341" s="675">
        <f>$F$10</f>
        <v>210000</v>
      </c>
      <c r="G341" s="675">
        <f>E341*luongphu</f>
        <v>1123200</v>
      </c>
      <c r="H341" s="675">
        <f>E341*khoantructiep</f>
        <v>374400</v>
      </c>
      <c r="I341" s="675">
        <f>E341*KhongOndinhSX</f>
        <v>0</v>
      </c>
      <c r="J341" s="675">
        <f>E341*thuhut</f>
        <v>0</v>
      </c>
      <c r="K341" s="675"/>
      <c r="L341" s="675"/>
      <c r="M341" s="675">
        <f>ROUND(SUM(E341:L341)/26,0)</f>
        <v>425677</v>
      </c>
    </row>
    <row r="342" spans="1:13">
      <c r="A342" s="678" t="s">
        <v>488</v>
      </c>
      <c r="B342" s="678"/>
      <c r="C342" s="391"/>
      <c r="D342" s="685"/>
      <c r="E342" s="686"/>
      <c r="F342" s="686"/>
      <c r="G342" s="686"/>
      <c r="H342" s="686"/>
      <c r="I342" s="686"/>
      <c r="J342" s="686"/>
      <c r="K342" s="686"/>
      <c r="L342" s="686"/>
      <c r="M342" s="675"/>
    </row>
    <row r="343" spans="1:13">
      <c r="A343" s="697"/>
      <c r="B343" s="697"/>
      <c r="C343" s="685"/>
      <c r="D343" s="698">
        <v>3.91</v>
      </c>
      <c r="E343" s="675">
        <f>D343*LTTV</f>
        <v>7820000</v>
      </c>
      <c r="F343" s="675">
        <f>$F$10</f>
        <v>210000</v>
      </c>
      <c r="G343" s="675">
        <f>E343*luongphu</f>
        <v>938400</v>
      </c>
      <c r="H343" s="675">
        <f>E343*khoantructiep</f>
        <v>312800</v>
      </c>
      <c r="I343" s="675">
        <f>E343*KhongOndinhSX</f>
        <v>0</v>
      </c>
      <c r="J343" s="675">
        <f>E343*thuhut</f>
        <v>0</v>
      </c>
      <c r="K343" s="675"/>
      <c r="L343" s="675"/>
      <c r="M343" s="675">
        <f>ROUND(SUM(E343:L343)/26,0)</f>
        <v>356969</v>
      </c>
    </row>
    <row r="344" spans="1:13">
      <c r="A344" s="697"/>
      <c r="B344" s="697"/>
      <c r="C344" s="685"/>
      <c r="D344" s="698">
        <v>4.16</v>
      </c>
      <c r="E344" s="675">
        <f>D344*LTTV</f>
        <v>8320000</v>
      </c>
      <c r="F344" s="675">
        <f>$F$10</f>
        <v>210000</v>
      </c>
      <c r="G344" s="675">
        <f>E344*luongphu</f>
        <v>998400</v>
      </c>
      <c r="H344" s="675">
        <f>E344*khoantructiep</f>
        <v>332800</v>
      </c>
      <c r="I344" s="675">
        <f>E344*KhongOndinhSX</f>
        <v>0</v>
      </c>
      <c r="J344" s="675">
        <f>E344*thuhut</f>
        <v>0</v>
      </c>
      <c r="K344" s="675"/>
      <c r="L344" s="675"/>
      <c r="M344" s="675">
        <f>ROUND(SUM(E344:L344)/26,0)</f>
        <v>379277</v>
      </c>
    </row>
    <row r="345" spans="1:13">
      <c r="A345" s="697"/>
      <c r="B345" s="697"/>
      <c r="C345" s="685"/>
      <c r="D345" s="698">
        <v>4.16</v>
      </c>
      <c r="E345" s="675">
        <f>D345*LTTV</f>
        <v>8320000</v>
      </c>
      <c r="F345" s="675">
        <f>$F$10</f>
        <v>210000</v>
      </c>
      <c r="G345" s="675">
        <f>E345*luongphu</f>
        <v>998400</v>
      </c>
      <c r="H345" s="675">
        <f>E345*khoantructiep</f>
        <v>332800</v>
      </c>
      <c r="I345" s="675">
        <f>E345*KhongOndinhSX</f>
        <v>0</v>
      </c>
      <c r="J345" s="675">
        <f>E345*thuhut</f>
        <v>0</v>
      </c>
      <c r="K345" s="675"/>
      <c r="L345" s="675"/>
      <c r="M345" s="675">
        <f>ROUND(SUM(E345:L345)/26,0)</f>
        <v>379277</v>
      </c>
    </row>
    <row r="346" spans="1:13">
      <c r="A346" s="697"/>
      <c r="B346" s="697"/>
      <c r="C346" s="685"/>
      <c r="D346" s="698">
        <v>4.37</v>
      </c>
      <c r="E346" s="675">
        <f>D346*LTTV</f>
        <v>8740000</v>
      </c>
      <c r="F346" s="675">
        <f>$F$10</f>
        <v>210000</v>
      </c>
      <c r="G346" s="675">
        <f>E346*luongphu</f>
        <v>1048800</v>
      </c>
      <c r="H346" s="675">
        <f>E346*khoantructiep</f>
        <v>349600</v>
      </c>
      <c r="I346" s="675">
        <f>E346*KhongOndinhSX</f>
        <v>0</v>
      </c>
      <c r="J346" s="675">
        <f>E346*thuhut</f>
        <v>0</v>
      </c>
      <c r="K346" s="675"/>
      <c r="L346" s="675"/>
      <c r="M346" s="675">
        <f>ROUND(SUM(E346:L346)/26,0)</f>
        <v>398015</v>
      </c>
    </row>
    <row r="347" spans="1:13">
      <c r="A347" s="678" t="s">
        <v>476</v>
      </c>
      <c r="B347" s="678"/>
      <c r="C347" s="391"/>
      <c r="D347" s="391"/>
      <c r="E347" s="715"/>
      <c r="F347" s="715"/>
      <c r="G347" s="686"/>
      <c r="H347" s="686"/>
      <c r="I347" s="686"/>
      <c r="J347" s="686"/>
      <c r="K347" s="686"/>
      <c r="L347" s="686"/>
      <c r="M347" s="675"/>
    </row>
    <row r="348" spans="1:13">
      <c r="A348" s="697"/>
      <c r="B348" s="697"/>
      <c r="C348" s="685"/>
      <c r="D348" s="698">
        <v>3.5</v>
      </c>
      <c r="E348" s="675">
        <f>D348*LTTV</f>
        <v>7000000</v>
      </c>
      <c r="F348" s="675">
        <f>$F$10</f>
        <v>210000</v>
      </c>
      <c r="G348" s="675">
        <f>E348*luongphu</f>
        <v>840000</v>
      </c>
      <c r="H348" s="675">
        <f>E348*khoantructiep</f>
        <v>280000</v>
      </c>
      <c r="I348" s="675">
        <f>E348*KhongOndinhSX</f>
        <v>0</v>
      </c>
      <c r="J348" s="675">
        <f>E348*thuhut</f>
        <v>0</v>
      </c>
      <c r="K348" s="675"/>
      <c r="L348" s="675"/>
      <c r="M348" s="675">
        <f>ROUND(SUM(E348:L348)/26,0)</f>
        <v>320385</v>
      </c>
    </row>
    <row r="349" spans="1:13">
      <c r="A349" s="697"/>
      <c r="B349" s="697"/>
      <c r="C349" s="685"/>
      <c r="D349" s="698">
        <v>3.73</v>
      </c>
      <c r="E349" s="675">
        <f>D349*LTTV</f>
        <v>7460000</v>
      </c>
      <c r="F349" s="675">
        <f>$F$10</f>
        <v>210000</v>
      </c>
      <c r="G349" s="675">
        <f>E349*luongphu</f>
        <v>895200</v>
      </c>
      <c r="H349" s="675">
        <f>E349*khoantructiep</f>
        <v>298400</v>
      </c>
      <c r="I349" s="675">
        <f>E349*KhongOndinhSX</f>
        <v>0</v>
      </c>
      <c r="J349" s="675">
        <f>E349*thuhut</f>
        <v>0</v>
      </c>
      <c r="K349" s="675"/>
      <c r="L349" s="675"/>
      <c r="M349" s="675">
        <f>ROUND(SUM(E349:L349)/26,0)</f>
        <v>340908</v>
      </c>
    </row>
    <row r="350" spans="1:13">
      <c r="A350" s="697"/>
      <c r="B350" s="697"/>
      <c r="C350" s="685"/>
      <c r="D350" s="698">
        <v>3.73</v>
      </c>
      <c r="E350" s="675">
        <f>D350*LTTV</f>
        <v>7460000</v>
      </c>
      <c r="F350" s="675">
        <f>$F$10</f>
        <v>210000</v>
      </c>
      <c r="G350" s="675">
        <f>E350*luongphu</f>
        <v>895200</v>
      </c>
      <c r="H350" s="675">
        <f>E350*khoantructiep</f>
        <v>298400</v>
      </c>
      <c r="I350" s="675">
        <f>E350*KhongOndinhSX</f>
        <v>0</v>
      </c>
      <c r="J350" s="675">
        <f>E350*thuhut</f>
        <v>0</v>
      </c>
      <c r="K350" s="675"/>
      <c r="L350" s="675"/>
      <c r="M350" s="675">
        <f>ROUND(SUM(E350:L350)/26,0)</f>
        <v>340908</v>
      </c>
    </row>
    <row r="351" spans="1:13">
      <c r="A351" s="697"/>
      <c r="B351" s="697"/>
      <c r="C351" s="685"/>
      <c r="D351" s="698">
        <v>3.91</v>
      </c>
      <c r="E351" s="675">
        <f>D351*LTTV</f>
        <v>7820000</v>
      </c>
      <c r="F351" s="675">
        <f>$F$10</f>
        <v>210000</v>
      </c>
      <c r="G351" s="675">
        <f>E351*luongphu</f>
        <v>938400</v>
      </c>
      <c r="H351" s="675">
        <f>E351*khoantructiep</f>
        <v>312800</v>
      </c>
      <c r="I351" s="675">
        <f>E351*KhongOndinhSX</f>
        <v>0</v>
      </c>
      <c r="J351" s="675">
        <f>E351*thuhut</f>
        <v>0</v>
      </c>
      <c r="K351" s="675"/>
      <c r="L351" s="675"/>
      <c r="M351" s="675">
        <f>ROUND(SUM(E351:L351)/26,0)</f>
        <v>356969</v>
      </c>
    </row>
    <row r="352" spans="1:13">
      <c r="A352" s="391" t="s">
        <v>439</v>
      </c>
      <c r="B352" s="678"/>
      <c r="C352" s="685"/>
      <c r="D352" s="685"/>
      <c r="E352" s="686"/>
      <c r="F352" s="686"/>
      <c r="G352" s="686"/>
      <c r="H352" s="686"/>
      <c r="I352" s="686"/>
      <c r="J352" s="686"/>
      <c r="K352" s="686"/>
      <c r="L352" s="686"/>
      <c r="M352" s="675"/>
    </row>
    <row r="353" spans="1:13">
      <c r="A353" s="678" t="s">
        <v>489</v>
      </c>
      <c r="B353" s="678"/>
      <c r="C353" s="685"/>
      <c r="D353" s="685"/>
      <c r="E353" s="686"/>
      <c r="F353" s="686"/>
      <c r="G353" s="686"/>
      <c r="H353" s="686"/>
      <c r="I353" s="686"/>
      <c r="J353" s="686"/>
      <c r="K353" s="686"/>
      <c r="L353" s="686"/>
      <c r="M353" s="675"/>
    </row>
    <row r="354" spans="1:13">
      <c r="A354" s="697"/>
      <c r="B354" s="697"/>
      <c r="C354" s="685"/>
      <c r="D354" s="698">
        <v>2.5099999999999998</v>
      </c>
      <c r="E354" s="675">
        <f>D354*LTTV</f>
        <v>5020000</v>
      </c>
      <c r="F354" s="675">
        <f>$F$10</f>
        <v>210000</v>
      </c>
      <c r="G354" s="675">
        <f>E354*luongphu</f>
        <v>602400</v>
      </c>
      <c r="H354" s="675">
        <f>E354*khoantructiep</f>
        <v>200800</v>
      </c>
      <c r="I354" s="675">
        <f>E354*KhongOndinhSX</f>
        <v>0</v>
      </c>
      <c r="J354" s="675">
        <f>E354*thuhut</f>
        <v>0</v>
      </c>
      <c r="K354" s="675"/>
      <c r="L354" s="675"/>
      <c r="M354" s="675">
        <f>ROUND(SUM(E354:L354)/26,0)</f>
        <v>232046</v>
      </c>
    </row>
    <row r="355" spans="1:13">
      <c r="A355" s="697"/>
      <c r="B355" s="697"/>
      <c r="C355" s="685"/>
      <c r="D355" s="698">
        <v>2.83</v>
      </c>
      <c r="E355" s="675">
        <f>D355*LTTV</f>
        <v>5660000</v>
      </c>
      <c r="F355" s="675">
        <f>$F$10</f>
        <v>210000</v>
      </c>
      <c r="G355" s="675">
        <f>E355*luongphu</f>
        <v>679200</v>
      </c>
      <c r="H355" s="675">
        <f>E355*khoantructiep</f>
        <v>226400</v>
      </c>
      <c r="I355" s="675">
        <f>E355*KhongOndinhSX</f>
        <v>0</v>
      </c>
      <c r="J355" s="675">
        <f>E355*thuhut</f>
        <v>0</v>
      </c>
      <c r="K355" s="675"/>
      <c r="L355" s="675"/>
      <c r="M355" s="675">
        <f>ROUND(SUM(E355:L355)/26,0)</f>
        <v>260600</v>
      </c>
    </row>
    <row r="356" spans="1:13">
      <c r="A356" s="697"/>
      <c r="B356" s="697"/>
      <c r="C356" s="685"/>
      <c r="D356" s="698">
        <v>3.28</v>
      </c>
      <c r="E356" s="675">
        <f>D356*LTTV</f>
        <v>6560000</v>
      </c>
      <c r="F356" s="675">
        <f>$F$10</f>
        <v>210000</v>
      </c>
      <c r="G356" s="675">
        <f>E356*luongphu</f>
        <v>787200</v>
      </c>
      <c r="H356" s="675">
        <f>E356*khoantructiep</f>
        <v>262400</v>
      </c>
      <c r="I356" s="675">
        <f>E356*KhongOndinhSX</f>
        <v>0</v>
      </c>
      <c r="J356" s="675">
        <f>E356*thuhut</f>
        <v>0</v>
      </c>
      <c r="K356" s="675"/>
      <c r="L356" s="675"/>
      <c r="M356" s="675">
        <f>ROUND(SUM(E356:L356)/26,0)</f>
        <v>300754</v>
      </c>
    </row>
    <row r="357" spans="1:13">
      <c r="A357" s="697"/>
      <c r="B357" s="697"/>
      <c r="C357" s="685"/>
      <c r="D357" s="698">
        <v>3.91</v>
      </c>
      <c r="E357" s="675">
        <f>D357*LTTV</f>
        <v>7820000</v>
      </c>
      <c r="F357" s="675">
        <f>$F$10</f>
        <v>210000</v>
      </c>
      <c r="G357" s="675">
        <f>E357*luongphu</f>
        <v>938400</v>
      </c>
      <c r="H357" s="675">
        <f>E357*khoantructiep</f>
        <v>312800</v>
      </c>
      <c r="I357" s="675">
        <f>E357*KhongOndinhSX</f>
        <v>0</v>
      </c>
      <c r="J357" s="675">
        <f>E357*thuhut</f>
        <v>0</v>
      </c>
      <c r="K357" s="675"/>
      <c r="L357" s="675"/>
      <c r="M357" s="675">
        <f>ROUND(SUM(E357:L357)/26,0)</f>
        <v>356969</v>
      </c>
    </row>
    <row r="358" spans="1:13">
      <c r="A358" s="678" t="s">
        <v>490</v>
      </c>
      <c r="B358" s="678"/>
      <c r="C358" s="685"/>
      <c r="D358" s="685"/>
      <c r="E358" s="686"/>
      <c r="F358" s="686"/>
      <c r="G358" s="686"/>
      <c r="H358" s="686"/>
      <c r="I358" s="686"/>
      <c r="J358" s="686"/>
      <c r="K358" s="686"/>
      <c r="L358" s="686"/>
      <c r="M358" s="675"/>
    </row>
    <row r="359" spans="1:13">
      <c r="A359" s="697"/>
      <c r="B359" s="697"/>
      <c r="C359" s="685"/>
      <c r="D359" s="698">
        <v>2.35</v>
      </c>
      <c r="E359" s="675">
        <f>D359*LTTV</f>
        <v>4700000</v>
      </c>
      <c r="F359" s="675">
        <f>$F$10</f>
        <v>210000</v>
      </c>
      <c r="G359" s="675">
        <f>E359*luongphu</f>
        <v>564000</v>
      </c>
      <c r="H359" s="675">
        <f>E359*khoantructiep</f>
        <v>188000</v>
      </c>
      <c r="I359" s="675">
        <f>E359*KhongOndinhSX</f>
        <v>0</v>
      </c>
      <c r="J359" s="675">
        <f>E359*thuhut</f>
        <v>0</v>
      </c>
      <c r="K359" s="675"/>
      <c r="L359" s="675"/>
      <c r="M359" s="675">
        <f>ROUND(SUM(E359:L359)/26,0)</f>
        <v>217769</v>
      </c>
    </row>
    <row r="360" spans="1:13">
      <c r="A360" s="697"/>
      <c r="B360" s="697"/>
      <c r="C360" s="685"/>
      <c r="D360" s="698">
        <v>2.66</v>
      </c>
      <c r="E360" s="675">
        <f>D360*LTTV</f>
        <v>5320000</v>
      </c>
      <c r="F360" s="675">
        <f>$F$10</f>
        <v>210000</v>
      </c>
      <c r="G360" s="675">
        <f>E360*luongphu</f>
        <v>638400</v>
      </c>
      <c r="H360" s="675">
        <f>E360*khoantructiep</f>
        <v>212800</v>
      </c>
      <c r="I360" s="675">
        <f>E360*KhongOndinhSX</f>
        <v>0</v>
      </c>
      <c r="J360" s="675">
        <f>E360*thuhut</f>
        <v>0</v>
      </c>
      <c r="K360" s="675"/>
      <c r="L360" s="675"/>
      <c r="M360" s="675">
        <f>ROUND(SUM(E360:L360)/26,0)</f>
        <v>245431</v>
      </c>
    </row>
    <row r="361" spans="1:13">
      <c r="A361" s="697"/>
      <c r="B361" s="697"/>
      <c r="C361" s="685"/>
      <c r="D361" s="698">
        <v>3.12</v>
      </c>
      <c r="E361" s="675">
        <f>D361*LTTV</f>
        <v>6240000</v>
      </c>
      <c r="F361" s="675">
        <f>$F$10</f>
        <v>210000</v>
      </c>
      <c r="G361" s="675">
        <f>E361*luongphu</f>
        <v>748800</v>
      </c>
      <c r="H361" s="675">
        <f>E361*khoantructiep</f>
        <v>249600</v>
      </c>
      <c r="I361" s="675">
        <f>E361*KhongOndinhSX</f>
        <v>0</v>
      </c>
      <c r="J361" s="675">
        <f>E361*thuhut</f>
        <v>0</v>
      </c>
      <c r="K361" s="675"/>
      <c r="L361" s="675"/>
      <c r="M361" s="675">
        <f>ROUND(SUM(E361:L361)/26,0)</f>
        <v>286477</v>
      </c>
    </row>
    <row r="362" spans="1:13">
      <c r="A362" s="697"/>
      <c r="B362" s="697"/>
      <c r="C362" s="685"/>
      <c r="D362" s="698">
        <v>3.73</v>
      </c>
      <c r="E362" s="675">
        <f>D362*LTTV</f>
        <v>7460000</v>
      </c>
      <c r="F362" s="675">
        <f>$F$10</f>
        <v>210000</v>
      </c>
      <c r="G362" s="675">
        <f>E362*luongphu</f>
        <v>895200</v>
      </c>
      <c r="H362" s="675">
        <f>E362*khoantructiep</f>
        <v>298400</v>
      </c>
      <c r="I362" s="675">
        <f>E362*KhongOndinhSX</f>
        <v>0</v>
      </c>
      <c r="J362" s="675">
        <f>E362*thuhut</f>
        <v>0</v>
      </c>
      <c r="K362" s="675"/>
      <c r="L362" s="675"/>
      <c r="M362" s="675">
        <f>ROUND(SUM(E362:L362)/26,0)</f>
        <v>340908</v>
      </c>
    </row>
    <row r="363" spans="1:13">
      <c r="A363" s="678" t="s">
        <v>491</v>
      </c>
      <c r="B363" s="678"/>
      <c r="C363" s="685"/>
      <c r="D363" s="685"/>
      <c r="E363" s="686"/>
      <c r="F363" s="686"/>
      <c r="G363" s="686"/>
      <c r="H363" s="686"/>
      <c r="I363" s="686"/>
      <c r="J363" s="686"/>
      <c r="K363" s="686"/>
      <c r="L363" s="686"/>
      <c r="M363" s="675"/>
    </row>
    <row r="364" spans="1:13" ht="16.5">
      <c r="A364" s="697"/>
      <c r="B364" s="697"/>
      <c r="C364" s="757" t="s">
        <v>820</v>
      </c>
      <c r="D364" s="698">
        <v>2.1800000000000002</v>
      </c>
      <c r="E364" s="675">
        <f>D364*LTTV</f>
        <v>4360000</v>
      </c>
      <c r="F364" s="675">
        <f>$F$10</f>
        <v>210000</v>
      </c>
      <c r="G364" s="675">
        <f>E364*luongphu</f>
        <v>523200</v>
      </c>
      <c r="H364" s="675">
        <f>E364*khoantructiep</f>
        <v>174400</v>
      </c>
      <c r="I364" s="675">
        <f>E364*KhongOndinhSX</f>
        <v>0</v>
      </c>
      <c r="J364" s="675">
        <f>E364*thuhut</f>
        <v>0</v>
      </c>
      <c r="K364" s="675"/>
      <c r="L364" s="675"/>
      <c r="M364" s="675">
        <f>ROUND(SUM(E364:L364)/26,0)</f>
        <v>202600</v>
      </c>
    </row>
    <row r="365" spans="1:13" ht="16.5">
      <c r="A365" s="697"/>
      <c r="B365" s="697"/>
      <c r="C365" s="757" t="s">
        <v>821</v>
      </c>
      <c r="D365" s="698">
        <v>2.59</v>
      </c>
      <c r="E365" s="675">
        <f>D365*LTTV</f>
        <v>5180000</v>
      </c>
      <c r="F365" s="675">
        <f>$F$10</f>
        <v>210000</v>
      </c>
      <c r="G365" s="675">
        <f>E365*luongphu</f>
        <v>621600</v>
      </c>
      <c r="H365" s="675">
        <f>E365*khoantructiep</f>
        <v>207200</v>
      </c>
      <c r="I365" s="675">
        <f>E365*KhongOndinhSX</f>
        <v>0</v>
      </c>
      <c r="J365" s="675">
        <f>E365*thuhut</f>
        <v>0</v>
      </c>
      <c r="K365" s="675"/>
      <c r="L365" s="675"/>
      <c r="M365" s="675">
        <f>ROUND(SUM(E365:L365)/26,0)</f>
        <v>239185</v>
      </c>
    </row>
    <row r="366" spans="1:13" ht="16.5">
      <c r="A366" s="697"/>
      <c r="B366" s="759" t="s">
        <v>824</v>
      </c>
      <c r="C366" s="757" t="s">
        <v>822</v>
      </c>
      <c r="D366" s="698">
        <v>3.08</v>
      </c>
      <c r="E366" s="675">
        <f>D366*LTTV</f>
        <v>6160000</v>
      </c>
      <c r="F366" s="675">
        <f>$F$10</f>
        <v>210000</v>
      </c>
      <c r="G366" s="675">
        <f>E366*luongphu</f>
        <v>739200</v>
      </c>
      <c r="H366" s="675">
        <f>E366*khoantructiep</f>
        <v>246400</v>
      </c>
      <c r="I366" s="675">
        <f>E366*KhongOndinhSX</f>
        <v>0</v>
      </c>
      <c r="J366" s="675">
        <f>E366*thuhut</f>
        <v>0</v>
      </c>
      <c r="K366" s="675"/>
      <c r="L366" s="675"/>
      <c r="M366" s="675">
        <f>ROUND(SUM(E366:L366)/26,0)</f>
        <v>282908</v>
      </c>
    </row>
    <row r="367" spans="1:13" ht="16.5">
      <c r="A367" s="697"/>
      <c r="B367" s="759" t="s">
        <v>825</v>
      </c>
      <c r="C367" s="757" t="s">
        <v>823</v>
      </c>
      <c r="D367" s="698">
        <v>3.73</v>
      </c>
      <c r="E367" s="675">
        <f>D367*LTTV</f>
        <v>7460000</v>
      </c>
      <c r="F367" s="675">
        <f>$F$10</f>
        <v>210000</v>
      </c>
      <c r="G367" s="675">
        <f>E367*luongphu</f>
        <v>895200</v>
      </c>
      <c r="H367" s="675">
        <f>E367*khoantructiep</f>
        <v>298400</v>
      </c>
      <c r="I367" s="675">
        <f>E367*KhongOndinhSX</f>
        <v>0</v>
      </c>
      <c r="J367" s="675">
        <f>E367*thuhut</f>
        <v>0</v>
      </c>
      <c r="K367" s="675"/>
      <c r="L367" s="675"/>
      <c r="M367" s="675">
        <f>ROUND(SUM(E367:L367)/26,0)</f>
        <v>340908</v>
      </c>
    </row>
    <row r="368" spans="1:13">
      <c r="A368" s="678" t="s">
        <v>444</v>
      </c>
      <c r="B368" s="678"/>
      <c r="C368" s="685"/>
      <c r="D368" s="685"/>
      <c r="E368" s="686"/>
      <c r="F368" s="686"/>
      <c r="G368" s="686"/>
      <c r="H368" s="686"/>
      <c r="I368" s="686"/>
      <c r="J368" s="686"/>
      <c r="K368" s="686"/>
      <c r="L368" s="686"/>
      <c r="M368" s="675"/>
    </row>
    <row r="369" spans="1:13">
      <c r="A369" s="697"/>
      <c r="B369" s="697"/>
      <c r="C369" s="685"/>
      <c r="D369" s="716">
        <v>1.75</v>
      </c>
      <c r="E369" s="675">
        <f>D369*LTTV</f>
        <v>3500000</v>
      </c>
      <c r="F369" s="675">
        <f>$F$10</f>
        <v>210000</v>
      </c>
      <c r="G369" s="675">
        <f>E369*luongphu</f>
        <v>420000</v>
      </c>
      <c r="H369" s="675">
        <f>E369*khoantructiep</f>
        <v>140000</v>
      </c>
      <c r="I369" s="675">
        <f>E369*KhongOndinhSX</f>
        <v>0</v>
      </c>
      <c r="J369" s="675">
        <f>E369*thuhut</f>
        <v>0</v>
      </c>
      <c r="K369" s="675"/>
      <c r="L369" s="675"/>
      <c r="M369" s="675">
        <f>ROUND(SUM(E369:L369)/26,0)</f>
        <v>164231</v>
      </c>
    </row>
    <row r="370" spans="1:13">
      <c r="A370" s="697"/>
      <c r="B370" s="697"/>
      <c r="C370" s="685"/>
      <c r="D370" s="716">
        <v>1.99</v>
      </c>
      <c r="E370" s="675">
        <f>D370*LTTV</f>
        <v>3980000</v>
      </c>
      <c r="F370" s="675">
        <f>$F$10</f>
        <v>210000</v>
      </c>
      <c r="G370" s="675">
        <f>E370*luongphu</f>
        <v>477600</v>
      </c>
      <c r="H370" s="675">
        <f>E370*khoantructiep</f>
        <v>159200</v>
      </c>
      <c r="I370" s="675">
        <f>E370*KhongOndinhSX</f>
        <v>0</v>
      </c>
      <c r="J370" s="675">
        <f>E370*thuhut</f>
        <v>0</v>
      </c>
      <c r="K370" s="675"/>
      <c r="L370" s="675"/>
      <c r="M370" s="675">
        <f>ROUND(SUM(E370:L370)/26,0)</f>
        <v>185646</v>
      </c>
    </row>
    <row r="371" spans="1:13" ht="16.5">
      <c r="A371" s="753"/>
      <c r="B371" s="756" t="s">
        <v>847</v>
      </c>
      <c r="C371" s="755" t="s">
        <v>819</v>
      </c>
      <c r="D371" s="754">
        <f>D370+(D372-D370)*0.7</f>
        <v>2.242</v>
      </c>
      <c r="E371" s="675">
        <f>D371*LTTV</f>
        <v>4484000</v>
      </c>
      <c r="F371" s="675">
        <f>$F$10</f>
        <v>210000</v>
      </c>
      <c r="G371" s="675">
        <f>E371*luongphu</f>
        <v>538080</v>
      </c>
      <c r="H371" s="675">
        <f>E371*khoantructiep</f>
        <v>179360</v>
      </c>
      <c r="I371" s="675">
        <f>E371*KhongOndinhSX</f>
        <v>0</v>
      </c>
      <c r="J371" s="675">
        <f>E371*thuhut</f>
        <v>0</v>
      </c>
      <c r="K371" s="675"/>
      <c r="L371" s="675"/>
      <c r="M371" s="675">
        <f>ROUND(SUM(E371:L371)/26,0)</f>
        <v>208132</v>
      </c>
    </row>
    <row r="372" spans="1:13" ht="16.5">
      <c r="A372" s="697"/>
      <c r="B372" s="756" t="s">
        <v>848</v>
      </c>
      <c r="C372" s="758" t="s">
        <v>822</v>
      </c>
      <c r="D372" s="716">
        <v>2.35</v>
      </c>
      <c r="E372" s="675">
        <f>D372*LTTV</f>
        <v>4700000</v>
      </c>
      <c r="F372" s="675">
        <f>$F$10</f>
        <v>210000</v>
      </c>
      <c r="G372" s="675">
        <f>E372*luongphu</f>
        <v>564000</v>
      </c>
      <c r="H372" s="675">
        <f>E372*khoantructiep</f>
        <v>188000</v>
      </c>
      <c r="I372" s="675">
        <f>E372*KhongOndinhSX</f>
        <v>0</v>
      </c>
      <c r="J372" s="675">
        <f>E372*thuhut</f>
        <v>0</v>
      </c>
      <c r="K372" s="675"/>
      <c r="L372" s="675"/>
      <c r="M372" s="675">
        <f>ROUND(SUM(E372:L372)/26,0)</f>
        <v>217769</v>
      </c>
    </row>
    <row r="373" spans="1:13">
      <c r="A373" s="697"/>
      <c r="B373" s="697"/>
      <c r="C373" s="685"/>
      <c r="D373" s="716">
        <v>2.66</v>
      </c>
      <c r="E373" s="675">
        <f>D373*LTTV</f>
        <v>5320000</v>
      </c>
      <c r="F373" s="675">
        <f>$F$10</f>
        <v>210000</v>
      </c>
      <c r="G373" s="675">
        <f>E373*luongphu</f>
        <v>638400</v>
      </c>
      <c r="H373" s="675">
        <f>E373*khoantructiep</f>
        <v>212800</v>
      </c>
      <c r="I373" s="675">
        <f>E373*KhongOndinhSX</f>
        <v>0</v>
      </c>
      <c r="J373" s="675">
        <f>E373*thuhut</f>
        <v>0</v>
      </c>
      <c r="K373" s="675"/>
      <c r="L373" s="675"/>
      <c r="M373" s="675">
        <f>ROUND(SUM(E373:L373)/26,0)</f>
        <v>245431</v>
      </c>
    </row>
    <row r="374" spans="1:13">
      <c r="A374" s="678" t="s">
        <v>445</v>
      </c>
      <c r="B374" s="678"/>
      <c r="C374" s="685"/>
      <c r="D374" s="685"/>
      <c r="E374" s="686"/>
      <c r="F374" s="686"/>
      <c r="G374" s="686"/>
      <c r="H374" s="686"/>
      <c r="I374" s="686"/>
      <c r="J374" s="686"/>
      <c r="K374" s="686"/>
      <c r="L374" s="686"/>
      <c r="M374" s="675"/>
    </row>
    <row r="375" spans="1:13">
      <c r="A375" s="697"/>
      <c r="B375" s="697"/>
      <c r="C375" s="685"/>
      <c r="D375" s="716">
        <v>1.93</v>
      </c>
      <c r="E375" s="675">
        <f>D375*LTTV</f>
        <v>3860000</v>
      </c>
      <c r="F375" s="675">
        <f>$F$10</f>
        <v>210000</v>
      </c>
      <c r="G375" s="675">
        <f>E375*luongphu</f>
        <v>463200</v>
      </c>
      <c r="H375" s="675">
        <f>E375*khoantructiep</f>
        <v>154400</v>
      </c>
      <c r="I375" s="675">
        <f>E375*KhongOndinhSX</f>
        <v>0</v>
      </c>
      <c r="J375" s="675">
        <f>E375*thuhut</f>
        <v>0</v>
      </c>
      <c r="K375" s="675"/>
      <c r="L375" s="675"/>
      <c r="M375" s="675">
        <f>ROUND(SUM(E375:L375)/26,0)</f>
        <v>180292</v>
      </c>
    </row>
    <row r="376" spans="1:13">
      <c r="A376" s="697"/>
      <c r="B376" s="697"/>
      <c r="C376" s="685"/>
      <c r="D376" s="716">
        <v>2.38</v>
      </c>
      <c r="E376" s="675">
        <f>D376*LTTV</f>
        <v>4760000</v>
      </c>
      <c r="F376" s="675">
        <f>$F$10</f>
        <v>210000</v>
      </c>
      <c r="G376" s="675">
        <f>E376*luongphu</f>
        <v>571200</v>
      </c>
      <c r="H376" s="675">
        <f>E376*khoantructiep</f>
        <v>190400</v>
      </c>
      <c r="I376" s="675">
        <f>E376*KhongOndinhSX</f>
        <v>0</v>
      </c>
      <c r="J376" s="675">
        <f>E376*thuhut</f>
        <v>0</v>
      </c>
      <c r="K376" s="675"/>
      <c r="L376" s="675"/>
      <c r="M376" s="675">
        <f>ROUND(SUM(E376:L376)/26,0)</f>
        <v>220446</v>
      </c>
    </row>
    <row r="377" spans="1:13">
      <c r="A377" s="697"/>
      <c r="B377" s="697"/>
      <c r="C377" s="685"/>
      <c r="D377" s="716">
        <v>2.74</v>
      </c>
      <c r="E377" s="675">
        <f>D377*LTTV</f>
        <v>5480000</v>
      </c>
      <c r="F377" s="675">
        <f>$F$10</f>
        <v>210000</v>
      </c>
      <c r="G377" s="675">
        <f>E377*luongphu</f>
        <v>657600</v>
      </c>
      <c r="H377" s="675">
        <f>E377*khoantructiep</f>
        <v>219200</v>
      </c>
      <c r="I377" s="675">
        <f>E377*KhongOndinhSX</f>
        <v>0</v>
      </c>
      <c r="J377" s="675">
        <f>E377*thuhut</f>
        <v>0</v>
      </c>
      <c r="K377" s="675"/>
      <c r="L377" s="675"/>
      <c r="M377" s="675">
        <f>ROUND(SUM(E377:L377)/26,0)</f>
        <v>252569</v>
      </c>
    </row>
    <row r="378" spans="1:13">
      <c r="A378" s="717"/>
      <c r="B378" s="717"/>
      <c r="C378" s="718"/>
      <c r="D378" s="719">
        <v>3.15</v>
      </c>
      <c r="E378" s="675">
        <f>D378*LTTV</f>
        <v>6300000</v>
      </c>
      <c r="F378" s="675">
        <f>$F$10</f>
        <v>210000</v>
      </c>
      <c r="G378" s="675">
        <f>E378*luongphu</f>
        <v>756000</v>
      </c>
      <c r="H378" s="675">
        <f>E378*khoantructiep</f>
        <v>252000</v>
      </c>
      <c r="I378" s="675">
        <f>E378*KhongOndinhSX</f>
        <v>0</v>
      </c>
      <c r="J378" s="675">
        <f>E378*thuhut</f>
        <v>0</v>
      </c>
      <c r="K378" s="720"/>
      <c r="L378" s="720"/>
      <c r="M378" s="675">
        <f>ROUND(SUM(E378:L378)/26,0)</f>
        <v>289154</v>
      </c>
    </row>
    <row r="379" spans="1:13">
      <c r="A379" s="721"/>
      <c r="B379" s="721"/>
      <c r="C379" s="722"/>
      <c r="D379" s="723"/>
      <c r="E379" s="724"/>
      <c r="F379" s="725"/>
      <c r="G379" s="726"/>
      <c r="H379" s="726"/>
      <c r="I379" s="726"/>
      <c r="J379" s="726"/>
      <c r="K379" s="726"/>
      <c r="L379" s="726"/>
      <c r="M379" s="726"/>
    </row>
    <row r="380" spans="1:13">
      <c r="A380" s="745" t="s">
        <v>492</v>
      </c>
      <c r="B380" s="745"/>
      <c r="C380" s="745"/>
      <c r="D380" s="745"/>
      <c r="E380" s="745"/>
      <c r="F380" s="745"/>
      <c r="G380" s="745"/>
      <c r="H380" s="745"/>
      <c r="I380" s="745"/>
      <c r="J380" s="745"/>
      <c r="K380" s="745"/>
      <c r="L380" s="745"/>
      <c r="M380" s="745"/>
    </row>
    <row r="381" spans="1:13">
      <c r="A381" s="727"/>
      <c r="B381" s="727" t="s">
        <v>493</v>
      </c>
      <c r="C381" s="728">
        <v>1</v>
      </c>
      <c r="D381" s="729">
        <v>2.34</v>
      </c>
      <c r="E381" s="675">
        <f t="shared" ref="E381:E389" si="81">D381*LTTV</f>
        <v>4680000</v>
      </c>
      <c r="F381" s="675">
        <f t="shared" ref="F381:F389" si="82">$F$10</f>
        <v>210000</v>
      </c>
      <c r="G381" s="675">
        <f t="shared" ref="G381:G389" si="83">E381*luongphu</f>
        <v>561600</v>
      </c>
      <c r="H381" s="675">
        <f t="shared" ref="H381:H389" si="84">E381*khoantructiep</f>
        <v>187200</v>
      </c>
      <c r="I381" s="675">
        <f t="shared" ref="I381:I389" si="85">E381*KhongOndinhSX</f>
        <v>0</v>
      </c>
      <c r="J381" s="675">
        <f t="shared" ref="J381:J389" si="86">E381*thuhut</f>
        <v>0</v>
      </c>
      <c r="K381" s="730">
        <v>0</v>
      </c>
      <c r="L381" s="730"/>
      <c r="M381" s="675">
        <f t="shared" ref="M381:M389" si="87">ROUND(SUM(E381:L381)/26,0)</f>
        <v>216877</v>
      </c>
    </row>
    <row r="382" spans="1:13">
      <c r="A382" s="673"/>
      <c r="B382" s="673" t="s">
        <v>494</v>
      </c>
      <c r="C382" s="668">
        <v>2</v>
      </c>
      <c r="D382" s="674">
        <v>2.65</v>
      </c>
      <c r="E382" s="675">
        <f t="shared" si="81"/>
        <v>5300000</v>
      </c>
      <c r="F382" s="675">
        <f t="shared" si="82"/>
        <v>210000</v>
      </c>
      <c r="G382" s="675">
        <f t="shared" si="83"/>
        <v>636000</v>
      </c>
      <c r="H382" s="675">
        <f t="shared" si="84"/>
        <v>212000</v>
      </c>
      <c r="I382" s="675">
        <f t="shared" si="85"/>
        <v>0</v>
      </c>
      <c r="J382" s="675">
        <f t="shared" si="86"/>
        <v>0</v>
      </c>
      <c r="K382" s="675"/>
      <c r="L382" s="675"/>
      <c r="M382" s="675">
        <f t="shared" si="87"/>
        <v>244538</v>
      </c>
    </row>
    <row r="383" spans="1:13">
      <c r="A383" s="673"/>
      <c r="B383" s="673" t="s">
        <v>495</v>
      </c>
      <c r="C383" s="668">
        <v>3</v>
      </c>
      <c r="D383" s="674">
        <v>2.96</v>
      </c>
      <c r="E383" s="675">
        <f t="shared" si="81"/>
        <v>5920000</v>
      </c>
      <c r="F383" s="675">
        <f t="shared" si="82"/>
        <v>210000</v>
      </c>
      <c r="G383" s="675">
        <f t="shared" si="83"/>
        <v>710400</v>
      </c>
      <c r="H383" s="675">
        <f t="shared" si="84"/>
        <v>236800</v>
      </c>
      <c r="I383" s="675">
        <f t="shared" si="85"/>
        <v>0</v>
      </c>
      <c r="J383" s="675">
        <f t="shared" si="86"/>
        <v>0</v>
      </c>
      <c r="K383" s="675"/>
      <c r="L383" s="675"/>
      <c r="M383" s="675">
        <f t="shared" si="87"/>
        <v>272200</v>
      </c>
    </row>
    <row r="384" spans="1:13">
      <c r="A384" s="673"/>
      <c r="B384" s="673" t="s">
        <v>496</v>
      </c>
      <c r="C384" s="668">
        <v>4</v>
      </c>
      <c r="D384" s="674">
        <v>3.27</v>
      </c>
      <c r="E384" s="675">
        <f t="shared" si="81"/>
        <v>6540000</v>
      </c>
      <c r="F384" s="675">
        <f t="shared" si="82"/>
        <v>210000</v>
      </c>
      <c r="G384" s="675">
        <f t="shared" si="83"/>
        <v>784800</v>
      </c>
      <c r="H384" s="675">
        <f t="shared" si="84"/>
        <v>261600</v>
      </c>
      <c r="I384" s="675">
        <f t="shared" si="85"/>
        <v>0</v>
      </c>
      <c r="J384" s="675">
        <f t="shared" si="86"/>
        <v>0</v>
      </c>
      <c r="K384" s="675"/>
      <c r="L384" s="675"/>
      <c r="M384" s="675">
        <f t="shared" si="87"/>
        <v>299862</v>
      </c>
    </row>
    <row r="385" spans="1:13">
      <c r="A385" s="673"/>
      <c r="B385" s="673" t="s">
        <v>497</v>
      </c>
      <c r="C385" s="668">
        <v>4.5</v>
      </c>
      <c r="D385" s="674">
        <v>3.4249999999999998</v>
      </c>
      <c r="E385" s="675">
        <f t="shared" si="81"/>
        <v>6850000</v>
      </c>
      <c r="F385" s="675">
        <f t="shared" si="82"/>
        <v>210000</v>
      </c>
      <c r="G385" s="675">
        <f t="shared" si="83"/>
        <v>822000</v>
      </c>
      <c r="H385" s="675">
        <f t="shared" si="84"/>
        <v>274000</v>
      </c>
      <c r="I385" s="675">
        <f t="shared" si="85"/>
        <v>0</v>
      </c>
      <c r="J385" s="675">
        <f t="shared" si="86"/>
        <v>0</v>
      </c>
      <c r="K385" s="675"/>
      <c r="L385" s="675"/>
      <c r="M385" s="675">
        <f t="shared" si="87"/>
        <v>313692</v>
      </c>
    </row>
    <row r="386" spans="1:13">
      <c r="A386" s="673"/>
      <c r="B386" s="673" t="s">
        <v>498</v>
      </c>
      <c r="C386" s="668">
        <v>5</v>
      </c>
      <c r="D386" s="674">
        <v>3.58</v>
      </c>
      <c r="E386" s="675">
        <f t="shared" si="81"/>
        <v>7160000</v>
      </c>
      <c r="F386" s="675">
        <f t="shared" si="82"/>
        <v>210000</v>
      </c>
      <c r="G386" s="675">
        <f t="shared" si="83"/>
        <v>859200</v>
      </c>
      <c r="H386" s="675">
        <f t="shared" si="84"/>
        <v>286400</v>
      </c>
      <c r="I386" s="675">
        <f t="shared" si="85"/>
        <v>0</v>
      </c>
      <c r="J386" s="675">
        <f t="shared" si="86"/>
        <v>0</v>
      </c>
      <c r="K386" s="675"/>
      <c r="L386" s="675"/>
      <c r="M386" s="675">
        <f t="shared" si="87"/>
        <v>327523</v>
      </c>
    </row>
    <row r="387" spans="1:13">
      <c r="A387" s="673"/>
      <c r="B387" s="673" t="s">
        <v>499</v>
      </c>
      <c r="C387" s="668">
        <v>6</v>
      </c>
      <c r="D387" s="674">
        <v>3.89</v>
      </c>
      <c r="E387" s="675">
        <f t="shared" si="81"/>
        <v>7780000</v>
      </c>
      <c r="F387" s="675">
        <f t="shared" si="82"/>
        <v>210000</v>
      </c>
      <c r="G387" s="675">
        <f t="shared" si="83"/>
        <v>933600</v>
      </c>
      <c r="H387" s="675">
        <f t="shared" si="84"/>
        <v>311200</v>
      </c>
      <c r="I387" s="675">
        <f t="shared" si="85"/>
        <v>0</v>
      </c>
      <c r="J387" s="675">
        <f t="shared" si="86"/>
        <v>0</v>
      </c>
      <c r="K387" s="675"/>
      <c r="L387" s="675"/>
      <c r="M387" s="675">
        <f t="shared" si="87"/>
        <v>355185</v>
      </c>
    </row>
    <row r="388" spans="1:13">
      <c r="A388" s="673"/>
      <c r="B388" s="673" t="s">
        <v>500</v>
      </c>
      <c r="C388" s="668">
        <v>7</v>
      </c>
      <c r="D388" s="674">
        <v>4.2</v>
      </c>
      <c r="E388" s="675">
        <f t="shared" si="81"/>
        <v>8400000</v>
      </c>
      <c r="F388" s="675">
        <f t="shared" si="82"/>
        <v>210000</v>
      </c>
      <c r="G388" s="675">
        <f t="shared" si="83"/>
        <v>1008000</v>
      </c>
      <c r="H388" s="675">
        <f t="shared" si="84"/>
        <v>336000</v>
      </c>
      <c r="I388" s="675">
        <f t="shared" si="85"/>
        <v>0</v>
      </c>
      <c r="J388" s="675">
        <f t="shared" si="86"/>
        <v>0</v>
      </c>
      <c r="K388" s="675"/>
      <c r="L388" s="675"/>
      <c r="M388" s="675">
        <f t="shared" si="87"/>
        <v>382846</v>
      </c>
    </row>
    <row r="389" spans="1:13">
      <c r="A389" s="731"/>
      <c r="B389" s="731" t="s">
        <v>501</v>
      </c>
      <c r="C389" s="732">
        <v>8</v>
      </c>
      <c r="D389" s="733">
        <v>4.51</v>
      </c>
      <c r="E389" s="720">
        <f t="shared" si="81"/>
        <v>9020000</v>
      </c>
      <c r="F389" s="720">
        <f t="shared" si="82"/>
        <v>210000</v>
      </c>
      <c r="G389" s="720">
        <f t="shared" si="83"/>
        <v>1082400</v>
      </c>
      <c r="H389" s="720">
        <f t="shared" si="84"/>
        <v>360800</v>
      </c>
      <c r="I389" s="720">
        <f t="shared" si="85"/>
        <v>0</v>
      </c>
      <c r="J389" s="720">
        <f t="shared" si="86"/>
        <v>0</v>
      </c>
      <c r="K389" s="720"/>
      <c r="L389" s="720"/>
      <c r="M389" s="720">
        <f t="shared" si="87"/>
        <v>410508</v>
      </c>
    </row>
  </sheetData>
  <autoFilter ref="A12:M389"/>
  <mergeCells count="7">
    <mergeCell ref="M12:M14"/>
    <mergeCell ref="A12:A14"/>
    <mergeCell ref="B12:B14"/>
    <mergeCell ref="C12:C14"/>
    <mergeCell ref="D12:D14"/>
    <mergeCell ref="E12:E14"/>
    <mergeCell ref="F12:F14"/>
  </mergeCells>
  <phoneticPr fontId="87" type="noConversion"/>
  <hyperlinks>
    <hyperlink ref="A1" location="ML!A1" tooltip="Về mục lục" display="BẢNG LƯƠNG NHÂN CÔNG XÂY DỰNG"/>
  </hyperlinks>
  <printOptions horizontalCentered="1"/>
  <pageMargins left="0.75" right="0.25" top="0.75" bottom="0.5" header="0.25" footer="0.25"/>
  <pageSetup paperSize="9" orientation="landscape" blackAndWhite="1" horizontalDpi="300" verticalDpi="300" r:id="rId1"/>
  <headerFooter>
    <oddHeader>&amp;L&amp;"+,nghiêng"&amp;10Dự toán GXD - www.giaxaydung.vn</oddHeader>
    <oddFooter>&amp;C&amp;P</oddFooter>
  </headerFooter>
  <legacyDrawing r:id="rId2"/>
</worksheet>
</file>

<file path=xl/worksheets/sheet51.xml><?xml version="1.0" encoding="utf-8"?>
<worksheet xmlns="http://schemas.openxmlformats.org/spreadsheetml/2006/main" xmlns:r="http://schemas.openxmlformats.org/officeDocument/2006/relationships">
  <sheetPr codeName="Sheet41"/>
  <dimension ref="A1"/>
  <sheetViews>
    <sheetView topLeftCell="A7" workbookViewId="0">
      <selection activeCell="B7" sqref="B7"/>
    </sheetView>
  </sheetViews>
  <sheetFormatPr defaultRowHeight="15"/>
  <sheetData/>
  <phoneticPr fontId="87" type="noConversion"/>
  <printOptions horizontalCentered="1"/>
  <pageMargins left="0.70866141732283472" right="0.31496062992125984" top="0.74803149606299213" bottom="0.74803149606299213" header="0.31496062992125984" footer="0.31496062992125984"/>
  <pageSetup paperSize="9" orientation="portrait" horizontalDpi="300" verticalDpi="300" r:id="rId1"/>
  <headerFooter>
    <oddHeader>&amp;L&amp;"+,nghiêng"&amp;10Dự toán GXD - www.giaxaydung.vn</oddHeader>
    <oddFooter>&amp;C&amp;P</oddFooter>
  </headerFooter>
</worksheet>
</file>

<file path=xl/worksheets/sheet6.xml><?xml version="1.0" encoding="utf-8"?>
<worksheet xmlns="http://schemas.openxmlformats.org/spreadsheetml/2006/main" xmlns:r="http://schemas.openxmlformats.org/officeDocument/2006/relationships">
  <sheetPr codeName="Sheet4" enableFormatConditionsCalculation="0">
    <tabColor rgb="FFFFC000"/>
  </sheetPr>
  <dimension ref="A1:K22"/>
  <sheetViews>
    <sheetView showZeros="0" zoomScaleSheetLayoutView="100" workbookViewId="0">
      <selection activeCell="A5" sqref="A5"/>
    </sheetView>
  </sheetViews>
  <sheetFormatPr defaultColWidth="9" defaultRowHeight="15"/>
  <cols>
    <col min="1" max="1" width="4.85546875" customWidth="1"/>
    <col min="2" max="2" width="43.140625" customWidth="1"/>
    <col min="3" max="3" width="9.28515625" customWidth="1"/>
    <col min="4" max="4" width="24.42578125" customWidth="1"/>
    <col min="5" max="5" width="19.28515625" customWidth="1"/>
    <col min="6" max="6" width="14.5703125" customWidth="1"/>
    <col min="7" max="7" width="18.28515625" customWidth="1"/>
    <col min="8" max="8" width="2.28515625" style="102" customWidth="1"/>
    <col min="9" max="9" width="14.42578125" style="102" customWidth="1"/>
    <col min="10" max="10" width="11.7109375" style="102" customWidth="1"/>
    <col min="11" max="11" width="10.42578125" style="102" customWidth="1"/>
    <col min="12" max="16384" width="9" style="102"/>
  </cols>
  <sheetData>
    <row r="1" spans="1:11" ht="30" customHeight="1">
      <c r="A1" s="2" t="s">
        <v>54</v>
      </c>
      <c r="B1" s="99"/>
      <c r="C1" s="99"/>
      <c r="D1" s="99"/>
      <c r="E1" s="100"/>
      <c r="F1" s="100"/>
      <c r="G1" s="100"/>
    </row>
    <row r="2" spans="1:11" ht="20.100000000000001" customHeight="1">
      <c r="A2" s="3" t="str">
        <f>'Bia1'!D42&amp;'Bia1'!E42</f>
        <v>CÔNG TRÌNH: NHÀ BIỆT THỰ GXD</v>
      </c>
      <c r="B2" s="103"/>
      <c r="C2" s="103"/>
      <c r="D2" s="103"/>
      <c r="E2" s="104"/>
      <c r="F2" s="104"/>
      <c r="G2" s="104"/>
      <c r="H2" s="105"/>
    </row>
    <row r="3" spans="1:11" ht="20.100000000000001" customHeight="1">
      <c r="A3" s="3" t="str">
        <f>'Bia1'!D43&amp;'Bia1'!E43</f>
        <v>HẠNG MỤC: ĐỔI BẢNG MÃ FONT RẤT ĐƠN GIẢN TRONG DỰ TOÁN GXD</v>
      </c>
      <c r="B3" s="103"/>
      <c r="C3" s="103"/>
      <c r="D3" s="103"/>
      <c r="E3" s="104"/>
      <c r="F3" s="104"/>
      <c r="G3" s="104"/>
      <c r="H3" s="105"/>
    </row>
    <row r="4" spans="1:11" ht="15.75">
      <c r="A4" s="106"/>
      <c r="B4" s="106"/>
      <c r="C4" s="106"/>
      <c r="D4" s="106"/>
      <c r="E4" s="107"/>
      <c r="F4" s="107"/>
      <c r="G4" s="108" t="s">
        <v>956</v>
      </c>
      <c r="H4" s="105"/>
      <c r="I4" s="554" t="s">
        <v>162</v>
      </c>
      <c r="J4" s="555"/>
      <c r="K4" s="556"/>
    </row>
    <row r="5" spans="1:11" ht="20.100000000000001" customHeight="1">
      <c r="A5" s="428" t="s">
        <v>660</v>
      </c>
      <c r="B5" s="109" t="s">
        <v>55</v>
      </c>
      <c r="C5" s="109" t="s">
        <v>56</v>
      </c>
      <c r="D5" s="109" t="s">
        <v>57</v>
      </c>
      <c r="E5" s="109" t="s">
        <v>58</v>
      </c>
      <c r="F5" s="109" t="s">
        <v>59</v>
      </c>
      <c r="G5" s="109" t="s">
        <v>60</v>
      </c>
      <c r="H5" s="110"/>
      <c r="I5" s="167" t="s">
        <v>163</v>
      </c>
      <c r="J5" s="168"/>
      <c r="K5" s="169"/>
    </row>
    <row r="6" spans="1:11" ht="15.75">
      <c r="A6" s="111"/>
      <c r="B6" s="111"/>
      <c r="C6" s="111"/>
      <c r="D6" s="111"/>
      <c r="E6" s="112"/>
      <c r="F6" s="112"/>
      <c r="G6" s="112"/>
      <c r="H6" s="113"/>
      <c r="I6" s="167" t="s">
        <v>164</v>
      </c>
      <c r="J6" s="168"/>
      <c r="K6" s="169"/>
    </row>
    <row r="7" spans="1:11" ht="20.100000000000001" customHeight="1">
      <c r="A7" s="114">
        <v>1</v>
      </c>
      <c r="B7" s="115" t="s">
        <v>588</v>
      </c>
      <c r="C7" s="116"/>
      <c r="D7" s="117" t="s">
        <v>61</v>
      </c>
      <c r="E7" s="118">
        <f>E8+E9</f>
        <v>99641881.002357692</v>
      </c>
      <c r="F7" s="118">
        <f>F8+F9</f>
        <v>9964188.1002357695</v>
      </c>
      <c r="G7" s="118">
        <f>G8+G9</f>
        <v>109606069.10259347</v>
      </c>
      <c r="H7" s="113"/>
      <c r="I7" s="184" t="s">
        <v>165</v>
      </c>
      <c r="J7" s="185">
        <v>1</v>
      </c>
      <c r="K7" s="186"/>
    </row>
    <row r="8" spans="1:11" ht="15.75">
      <c r="A8" s="119" t="s">
        <v>62</v>
      </c>
      <c r="B8" s="120" t="s">
        <v>63</v>
      </c>
      <c r="C8" s="121"/>
      <c r="D8" s="117" t="s">
        <v>64</v>
      </c>
      <c r="E8" s="122">
        <f>'TH Hang muc'!C12</f>
        <v>98655327.725106627</v>
      </c>
      <c r="F8" s="122">
        <f>'TH Hang muc'!D12</f>
        <v>9865532.7725106627</v>
      </c>
      <c r="G8" s="122">
        <f>'TH Hang muc'!E12</f>
        <v>108520860.49761729</v>
      </c>
      <c r="H8" s="113"/>
      <c r="I8" s="101" t="s">
        <v>728</v>
      </c>
    </row>
    <row r="9" spans="1:11" ht="31.5">
      <c r="A9" s="119" t="s">
        <v>65</v>
      </c>
      <c r="B9" s="120" t="s">
        <v>66</v>
      </c>
      <c r="C9" s="121"/>
      <c r="D9" s="117" t="s">
        <v>64</v>
      </c>
      <c r="E9" s="122">
        <f>G9/1.1</f>
        <v>986553.27725106629</v>
      </c>
      <c r="F9" s="122">
        <f>G9-E9</f>
        <v>98655.327725106734</v>
      </c>
      <c r="G9" s="122">
        <f>'TH Hang muc'!F12</f>
        <v>1085208.604976173</v>
      </c>
      <c r="H9" s="113"/>
    </row>
    <row r="10" spans="1:11" ht="20.100000000000001" customHeight="1">
      <c r="A10" s="114">
        <v>2</v>
      </c>
      <c r="B10" s="115" t="s">
        <v>589</v>
      </c>
      <c r="C10" s="116"/>
      <c r="D10" s="117" t="s">
        <v>64</v>
      </c>
      <c r="E10" s="118">
        <f>'TH CP thiet bi'!D13</f>
        <v>0</v>
      </c>
      <c r="F10" s="118">
        <f>'TH CP thiet bi'!E13</f>
        <v>0</v>
      </c>
      <c r="G10" s="118">
        <f>'TH CP thiet bi'!F13</f>
        <v>0</v>
      </c>
      <c r="H10" s="113"/>
    </row>
    <row r="11" spans="1:11" ht="20.100000000000001" hidden="1" customHeight="1">
      <c r="A11" s="114"/>
      <c r="B11" s="115" t="s">
        <v>67</v>
      </c>
      <c r="C11" s="116"/>
      <c r="D11" s="117" t="s">
        <v>64</v>
      </c>
      <c r="E11" s="118"/>
      <c r="F11" s="118"/>
      <c r="G11" s="118"/>
      <c r="H11" s="113"/>
    </row>
    <row r="12" spans="1:11" ht="20.100000000000001" customHeight="1">
      <c r="A12" s="114">
        <v>3</v>
      </c>
      <c r="B12" s="115" t="s">
        <v>590</v>
      </c>
      <c r="C12" s="123">
        <f ca="1">'QD957'!H12/100</f>
        <v>2.5239999999999999E-2</v>
      </c>
      <c r="D12" s="117" t="s">
        <v>594</v>
      </c>
      <c r="E12" s="118">
        <f ca="1">C12*(E7+E10)</f>
        <v>2514961.0764995078</v>
      </c>
      <c r="F12" s="118"/>
      <c r="G12" s="118">
        <f ca="1">E12</f>
        <v>2514961.0764995078</v>
      </c>
      <c r="H12" s="124"/>
    </row>
    <row r="13" spans="1:11" ht="20.100000000000001" customHeight="1">
      <c r="A13" s="114">
        <v>4</v>
      </c>
      <c r="B13" s="115" t="s">
        <v>591</v>
      </c>
      <c r="C13" s="116"/>
      <c r="D13" s="117" t="s">
        <v>64</v>
      </c>
      <c r="E13" s="118">
        <f ca="1">'CP tu van'!E44</f>
        <v>8449000</v>
      </c>
      <c r="F13" s="118">
        <f ca="1">'CP tu van'!F44</f>
        <v>845000</v>
      </c>
      <c r="G13" s="118">
        <f ca="1">'CP tu van'!G44</f>
        <v>9294000</v>
      </c>
      <c r="H13" s="113"/>
    </row>
    <row r="14" spans="1:11" ht="20.100000000000001" customHeight="1">
      <c r="A14" s="114">
        <v>5</v>
      </c>
      <c r="B14" s="115" t="s">
        <v>592</v>
      </c>
      <c r="C14" s="116"/>
      <c r="D14" s="117" t="s">
        <v>64</v>
      </c>
      <c r="E14" s="118">
        <f ca="1">'Cp khac'!E25</f>
        <v>1000000</v>
      </c>
      <c r="F14" s="118">
        <f ca="1">'Cp khac'!F25</f>
        <v>0</v>
      </c>
      <c r="G14" s="118">
        <f ca="1">'Cp khac'!G25</f>
        <v>1000000</v>
      </c>
      <c r="H14" s="113"/>
    </row>
    <row r="15" spans="1:11" ht="20.100000000000001" customHeight="1">
      <c r="A15" s="114">
        <v>6</v>
      </c>
      <c r="B15" s="115" t="s">
        <v>593</v>
      </c>
      <c r="C15" s="121"/>
      <c r="D15" s="125" t="s">
        <v>584</v>
      </c>
      <c r="E15" s="118">
        <f ca="1">G15/1.1</f>
        <v>5564319.553595135</v>
      </c>
      <c r="F15" s="118">
        <f ca="1">G15-E15</f>
        <v>556431.95535951387</v>
      </c>
      <c r="G15" s="118">
        <f ca="1">'CP Du phong'!D45</f>
        <v>6120751.5089546489</v>
      </c>
      <c r="H15" s="113"/>
    </row>
    <row r="16" spans="1:11" ht="20.100000000000001" customHeight="1">
      <c r="A16" s="114"/>
      <c r="B16" s="126" t="s">
        <v>68</v>
      </c>
      <c r="C16" s="127"/>
      <c r="D16" s="117" t="s">
        <v>69</v>
      </c>
      <c r="E16" s="118">
        <f ca="1">E7+E10+E11+E12+E13+E14+E15</f>
        <v>117170161.63245234</v>
      </c>
      <c r="F16" s="118">
        <f ca="1">F7+F10+F11+F12+F13+F14+F15</f>
        <v>11365620.055595282</v>
      </c>
      <c r="G16" s="118">
        <f ca="1">G7+G10+G11+G12+G13+G14+G15</f>
        <v>128535781.68804762</v>
      </c>
      <c r="H16" s="113"/>
    </row>
    <row r="17" spans="1:8" ht="20.100000000000001" customHeight="1">
      <c r="A17" s="428"/>
      <c r="B17" s="129" t="s">
        <v>732</v>
      </c>
      <c r="C17" s="128"/>
      <c r="D17" s="128"/>
      <c r="E17" s="130">
        <f ca="1">ROUND(E16,-3)</f>
        <v>117170000</v>
      </c>
      <c r="F17" s="130">
        <f ca="1">ROUND(F16,-3)</f>
        <v>11366000</v>
      </c>
      <c r="G17" s="130">
        <f ca="1">E17+F17</f>
        <v>128536000</v>
      </c>
      <c r="H17" s="113"/>
    </row>
    <row r="18" spans="1:8" ht="20.100000000000001" customHeight="1">
      <c r="A18" s="131"/>
      <c r="B18" s="132"/>
      <c r="C18" s="131"/>
      <c r="D18" s="131"/>
      <c r="E18" s="133"/>
      <c r="F18" s="133"/>
      <c r="G18" s="133"/>
      <c r="H18" s="134"/>
    </row>
    <row r="19" spans="1:8" ht="20.100000000000001" customHeight="1">
      <c r="A19" s="131"/>
      <c r="B19" s="132" t="s">
        <v>70</v>
      </c>
      <c r="C19" s="131"/>
      <c r="D19" s="131"/>
      <c r="E19" s="135" t="s">
        <v>71</v>
      </c>
      <c r="F19" s="136"/>
      <c r="G19" s="135"/>
      <c r="H19" s="134"/>
    </row>
    <row r="20" spans="1:8" ht="20.100000000000001" customHeight="1">
      <c r="A20" s="131"/>
      <c r="B20" s="132"/>
      <c r="C20" s="131"/>
      <c r="D20" s="131"/>
      <c r="E20" s="137" t="s">
        <v>72</v>
      </c>
      <c r="F20" s="136"/>
      <c r="G20" s="135"/>
      <c r="H20" s="134"/>
    </row>
    <row r="21" spans="1:8" ht="20.100000000000001" customHeight="1">
      <c r="A21" s="131"/>
      <c r="B21" s="132"/>
      <c r="C21" s="131"/>
      <c r="D21" s="131"/>
      <c r="E21" s="133"/>
      <c r="F21" s="133"/>
      <c r="G21" s="133"/>
      <c r="H21" s="134"/>
    </row>
    <row r="22" spans="1:8" ht="20.100000000000001" customHeight="1">
      <c r="A22" s="131"/>
      <c r="B22" s="132"/>
      <c r="C22" s="131"/>
      <c r="D22" s="131"/>
      <c r="E22" s="133"/>
      <c r="F22" s="133"/>
      <c r="G22" s="133"/>
      <c r="H22" s="134"/>
    </row>
  </sheetData>
  <phoneticPr fontId="87" type="noConversion"/>
  <hyperlinks>
    <hyperlink ref="A1" location="ML!A1" tooltip="Về mục lục" display="BẢNG TỔNG HỢP DỰ TOÁN CÔNG TRÌNH"/>
  </hyperlinks>
  <printOptions horizontalCentered="1"/>
  <pageMargins left="0.75" right="0.25" top="0.5" bottom="0.5" header="0.25" footer="0.25"/>
  <pageSetup paperSize="9" orientation="landscape" blackAndWhite="1" horizontalDpi="300" verticalDpi="300" r:id="rId1"/>
  <headerFooter>
    <oddHeader>&amp;L&amp;"+,nghiêng"&amp;10Dự toán GXD - www.giaxaydung.vn</oddHeader>
    <oddFooter>&amp;C&amp;P</oddFooter>
  </headerFooter>
  <ignoredErrors>
    <ignoredError sqref="A2:A3" unlockedFormula="1"/>
  </ignoredErrors>
  <legacyDrawing r:id="rId2"/>
</worksheet>
</file>

<file path=xl/worksheets/sheet7.xml><?xml version="1.0" encoding="utf-8"?>
<worksheet xmlns="http://schemas.openxmlformats.org/spreadsheetml/2006/main" xmlns:r="http://schemas.openxmlformats.org/officeDocument/2006/relationships">
  <sheetPr codeName="Sheet42">
    <tabColor rgb="FFFFC000"/>
  </sheetPr>
  <dimension ref="A1:I17"/>
  <sheetViews>
    <sheetView showZeros="0" workbookViewId="0">
      <selection activeCell="C6" sqref="C6"/>
    </sheetView>
  </sheetViews>
  <sheetFormatPr defaultRowHeight="15"/>
  <cols>
    <col min="1" max="1" width="4.5703125" customWidth="1"/>
    <col min="2" max="2" width="38.42578125" customWidth="1"/>
    <col min="3" max="5" width="16.42578125" customWidth="1"/>
    <col min="6" max="6" width="15.5703125" customWidth="1"/>
    <col min="7" max="7" width="18.140625" customWidth="1"/>
    <col min="8" max="8" width="10.85546875" customWidth="1"/>
  </cols>
  <sheetData>
    <row r="1" spans="1:9" ht="20.25">
      <c r="A1" s="503" t="s">
        <v>178</v>
      </c>
      <c r="B1" s="279"/>
      <c r="C1" s="279"/>
      <c r="D1" s="279"/>
      <c r="E1" s="279"/>
      <c r="F1" s="279"/>
      <c r="G1" s="279"/>
      <c r="H1" s="279"/>
      <c r="I1" s="495"/>
    </row>
    <row r="2" spans="1:9" ht="18.75">
      <c r="A2" s="3" t="str">
        <f>'Bia1'!D42&amp;'Bia1'!E42</f>
        <v>CÔNG TRÌNH: NHÀ BIỆT THỰ GXD</v>
      </c>
      <c r="B2" s="279"/>
      <c r="C2" s="279"/>
      <c r="D2" s="279"/>
      <c r="E2" s="279"/>
      <c r="F2" s="279"/>
      <c r="G2" s="279"/>
      <c r="H2" s="279"/>
      <c r="I2" s="495"/>
    </row>
    <row r="3" spans="1:9" ht="18.75">
      <c r="A3" s="3" t="str">
        <f>'Bia1'!D43&amp;'Bia1'!E43</f>
        <v>HẠNG MỤC: ĐỔI BẢNG MÃ FONT RẤT ĐƠN GIẢN TRONG DỰ TOÁN GXD</v>
      </c>
      <c r="B3" s="279"/>
      <c r="C3" s="279"/>
      <c r="D3" s="279"/>
      <c r="E3" s="279"/>
      <c r="F3" s="279"/>
      <c r="G3" s="279"/>
      <c r="H3" s="279"/>
      <c r="I3" s="495"/>
    </row>
    <row r="4" spans="1:9" ht="15.75">
      <c r="A4" s="28"/>
      <c r="B4" s="28"/>
      <c r="C4" s="28"/>
      <c r="D4" s="28"/>
      <c r="E4" s="28"/>
      <c r="F4" s="28"/>
      <c r="G4" s="28"/>
      <c r="H4" s="280" t="s">
        <v>956</v>
      </c>
      <c r="I4" s="495"/>
    </row>
    <row r="5" spans="1:9" ht="24">
      <c r="A5" s="281" t="s">
        <v>660</v>
      </c>
      <c r="B5" s="281" t="s">
        <v>953</v>
      </c>
      <c r="C5" s="372" t="s">
        <v>950</v>
      </c>
      <c r="D5" s="281" t="s">
        <v>59</v>
      </c>
      <c r="E5" s="372" t="s">
        <v>951</v>
      </c>
      <c r="F5" s="372" t="s">
        <v>952</v>
      </c>
      <c r="G5" s="281" t="s">
        <v>299</v>
      </c>
      <c r="H5" s="281" t="s">
        <v>270</v>
      </c>
      <c r="I5" s="495"/>
    </row>
    <row r="6" spans="1:9" ht="20.100000000000001" customHeight="1">
      <c r="A6" s="496"/>
      <c r="B6" s="497" t="str">
        <f>Ts!B6</f>
        <v>ĐỔI BẢNG MÃ FONT RẤT ĐƠN GIẢN TRONG DỰ TOÁN GXD</v>
      </c>
      <c r="C6" s="892">
        <f>'CP xay dung'!D21</f>
        <v>98655327.725106627</v>
      </c>
      <c r="D6" s="892">
        <f>'CP xay dung'!D22</f>
        <v>9865532.7725106627</v>
      </c>
      <c r="E6" s="892">
        <f>'CP xay dung'!D23</f>
        <v>108520860.49761729</v>
      </c>
      <c r="F6" s="892">
        <f>'CP xay dung'!D24</f>
        <v>1085208.604976173</v>
      </c>
      <c r="G6" s="892">
        <f>'CP xay dung'!D25</f>
        <v>109606069.10259347</v>
      </c>
      <c r="H6" s="496"/>
      <c r="I6" s="495"/>
    </row>
    <row r="7" spans="1:9">
      <c r="A7" s="498"/>
      <c r="B7" s="884"/>
      <c r="C7" s="893"/>
      <c r="D7" s="893"/>
      <c r="E7" s="893"/>
      <c r="F7" s="894"/>
      <c r="G7" s="894">
        <f t="shared" ref="G7:G11" si="0">SUM(C7:F7)</f>
        <v>0</v>
      </c>
      <c r="H7" s="885"/>
      <c r="I7" s="495"/>
    </row>
    <row r="8" spans="1:9" ht="15.75">
      <c r="A8" s="498"/>
      <c r="B8" s="886"/>
      <c r="C8" s="895"/>
      <c r="D8" s="895"/>
      <c r="E8" s="895"/>
      <c r="F8" s="893"/>
      <c r="G8" s="893">
        <f t="shared" si="0"/>
        <v>0</v>
      </c>
      <c r="H8" s="500"/>
      <c r="I8" s="495"/>
    </row>
    <row r="9" spans="1:9" ht="20.100000000000001" customHeight="1">
      <c r="A9" s="498"/>
      <c r="B9" s="499"/>
      <c r="C9" s="894"/>
      <c r="D9" s="894"/>
      <c r="E9" s="894"/>
      <c r="F9" s="896"/>
      <c r="G9" s="896">
        <f t="shared" si="0"/>
        <v>0</v>
      </c>
      <c r="H9" s="500"/>
      <c r="I9" s="495"/>
    </row>
    <row r="10" spans="1:9" ht="20.100000000000001" customHeight="1">
      <c r="A10" s="498"/>
      <c r="B10" s="499"/>
      <c r="C10" s="894"/>
      <c r="D10" s="894"/>
      <c r="E10" s="894"/>
      <c r="F10" s="896"/>
      <c r="G10" s="896">
        <f t="shared" si="0"/>
        <v>0</v>
      </c>
      <c r="H10" s="500"/>
      <c r="I10" s="495"/>
    </row>
    <row r="11" spans="1:9" ht="15.75">
      <c r="A11" s="498"/>
      <c r="B11" s="501"/>
      <c r="C11" s="897"/>
      <c r="D11" s="897"/>
      <c r="E11" s="897"/>
      <c r="F11" s="896"/>
      <c r="G11" s="896">
        <f t="shared" si="0"/>
        <v>0</v>
      </c>
      <c r="H11" s="500"/>
      <c r="I11" s="495"/>
    </row>
    <row r="12" spans="1:9" ht="15.75">
      <c r="A12" s="502"/>
      <c r="B12" s="502" t="s">
        <v>299</v>
      </c>
      <c r="C12" s="898">
        <f>SUM(C6:C11)</f>
        <v>98655327.725106627</v>
      </c>
      <c r="D12" s="898">
        <f t="shared" ref="D12:G12" si="1">SUM(D6:D11)</f>
        <v>9865532.7725106627</v>
      </c>
      <c r="E12" s="898">
        <f t="shared" si="1"/>
        <v>108520860.49761729</v>
      </c>
      <c r="F12" s="898">
        <f t="shared" si="1"/>
        <v>1085208.604976173</v>
      </c>
      <c r="G12" s="898">
        <f t="shared" si="1"/>
        <v>109606069.10259347</v>
      </c>
      <c r="H12" s="505" t="s">
        <v>674</v>
      </c>
      <c r="I12" s="495"/>
    </row>
    <row r="13" spans="1:9">
      <c r="A13" s="495"/>
      <c r="B13" s="495"/>
      <c r="C13" s="495"/>
      <c r="D13" s="495"/>
      <c r="E13" s="495"/>
      <c r="F13" s="495"/>
      <c r="G13" s="495"/>
      <c r="H13" s="495"/>
      <c r="I13" s="495"/>
    </row>
    <row r="14" spans="1:9" ht="15.75">
      <c r="A14" s="495"/>
      <c r="B14" s="900" t="str">
        <f>"(Bằng chữ: "&amp;vnd(G12)&amp;")"</f>
        <v>(Bằng chữ: Một trăm linh chín triệu sáu trăm linh sáu nghìn không trăm sáu mươi chín đồng.)</v>
      </c>
      <c r="C14" s="900"/>
      <c r="D14" s="900"/>
      <c r="E14" s="900"/>
      <c r="F14" s="495"/>
      <c r="G14" s="495"/>
      <c r="H14" s="495"/>
      <c r="I14" s="495"/>
    </row>
    <row r="15" spans="1:9">
      <c r="A15" s="495"/>
      <c r="B15" s="495"/>
      <c r="C15" s="495"/>
      <c r="D15" s="495"/>
      <c r="E15" s="495"/>
      <c r="F15" s="495"/>
      <c r="G15" s="495"/>
      <c r="H15" s="495"/>
      <c r="I15" s="495"/>
    </row>
    <row r="16" spans="1:9">
      <c r="A16" s="495"/>
      <c r="B16" s="495"/>
      <c r="C16" s="495"/>
      <c r="D16" s="495"/>
      <c r="E16" s="495"/>
      <c r="F16" s="495"/>
      <c r="G16" s="495"/>
      <c r="H16" s="495"/>
      <c r="I16" s="495"/>
    </row>
    <row r="17" spans="1:9">
      <c r="A17" s="495"/>
      <c r="B17" s="495"/>
      <c r="C17" s="495"/>
      <c r="D17" s="495"/>
      <c r="E17" s="495"/>
      <c r="F17" s="495"/>
      <c r="G17" s="495"/>
      <c r="H17" s="495"/>
      <c r="I17" s="495"/>
    </row>
  </sheetData>
  <phoneticPr fontId="87" type="noConversion"/>
  <printOptions horizontalCentered="1"/>
  <pageMargins left="0.75" right="0.25" top="0.75" bottom="0.5" header="0.25" footer="0.25"/>
  <pageSetup paperSize="9" orientation="landscape" blackAndWhite="1" horizontalDpi="300" verticalDpi="300" r:id="rId1"/>
  <headerFooter>
    <oddHeader>&amp;L&amp;"+,nghiêng"&amp;10Dự toán GXD - www.giaxaydung.vn</oddHeader>
    <oddFooter>&amp;C&amp;P</oddFooter>
  </headerFooter>
  <ignoredErrors>
    <ignoredError sqref="A2:A3" unlockedFormula="1"/>
  </ignoredErrors>
</worksheet>
</file>

<file path=xl/worksheets/sheet8.xml><?xml version="1.0" encoding="utf-8"?>
<worksheet xmlns="http://schemas.openxmlformats.org/spreadsheetml/2006/main" xmlns:r="http://schemas.openxmlformats.org/officeDocument/2006/relationships">
  <sheetPr codeName="shGxd">
    <tabColor rgb="FFFFFF99"/>
  </sheetPr>
  <dimension ref="A1:H36"/>
  <sheetViews>
    <sheetView showZeros="0" view="pageBreakPreview" zoomScale="85" zoomScaleSheetLayoutView="85" workbookViewId="0">
      <selection activeCell="D7" sqref="D7"/>
    </sheetView>
  </sheetViews>
  <sheetFormatPr defaultColWidth="9" defaultRowHeight="15.75"/>
  <cols>
    <col min="1" max="1" width="3.5703125" style="28" customWidth="1"/>
    <col min="2" max="2" width="36.28515625" style="28" customWidth="1"/>
    <col min="3" max="3" width="20" style="28" customWidth="1"/>
    <col min="4" max="4" width="18.140625" style="28" customWidth="1"/>
    <col min="5" max="7" width="7.42578125" style="28" customWidth="1"/>
    <col min="8" max="16384" width="9" style="28"/>
  </cols>
  <sheetData>
    <row r="1" spans="1:8" ht="30" customHeight="1">
      <c r="A1" s="2" t="s">
        <v>267</v>
      </c>
      <c r="B1" s="279"/>
      <c r="C1" s="279"/>
      <c r="D1" s="279"/>
      <c r="E1" s="279"/>
    </row>
    <row r="2" spans="1:8" ht="20.100000000000001" customHeight="1">
      <c r="A2" s="3" t="str">
        <f>'Bia1'!D42&amp;'Bia1'!E42</f>
        <v>CÔNG TRÌNH: NHÀ BIỆT THỰ GXD</v>
      </c>
      <c r="B2" s="279"/>
      <c r="C2" s="279"/>
      <c r="D2" s="279"/>
      <c r="E2" s="279"/>
      <c r="F2" s="593"/>
      <c r="G2" s="279"/>
    </row>
    <row r="3" spans="1:8" ht="20.100000000000001" customHeight="1">
      <c r="A3" s="3" t="str">
        <f>'Bia1'!D43&amp;'Bia1'!E43</f>
        <v>HẠNG MỤC: ĐỔI BẢNG MÃ FONT RẤT ĐƠN GIẢN TRONG DỰ TOÁN GXD</v>
      </c>
      <c r="B3" s="279"/>
      <c r="C3" s="279"/>
      <c r="D3" s="279"/>
      <c r="E3" s="279"/>
      <c r="F3" s="593"/>
      <c r="G3" s="279"/>
    </row>
    <row r="4" spans="1:8">
      <c r="E4" s="280" t="s">
        <v>956</v>
      </c>
      <c r="F4" s="280"/>
      <c r="G4" s="280"/>
    </row>
    <row r="5" spans="1:8" ht="26.25" customHeight="1">
      <c r="A5" s="281" t="s">
        <v>660</v>
      </c>
      <c r="B5" s="281" t="s">
        <v>268</v>
      </c>
      <c r="C5" s="281" t="s">
        <v>57</v>
      </c>
      <c r="D5" s="281" t="s">
        <v>269</v>
      </c>
      <c r="E5" s="281" t="s">
        <v>270</v>
      </c>
      <c r="F5" s="281" t="s">
        <v>600</v>
      </c>
      <c r="G5" s="281" t="s">
        <v>647</v>
      </c>
    </row>
    <row r="6" spans="1:8" ht="18" customHeight="1">
      <c r="A6" s="282"/>
      <c r="B6" s="283" t="s">
        <v>271</v>
      </c>
      <c r="C6" s="282"/>
      <c r="D6" s="284"/>
      <c r="E6" s="282"/>
      <c r="F6" s="282"/>
      <c r="G6" s="282"/>
    </row>
    <row r="7" spans="1:8" ht="18" customHeight="1">
      <c r="A7" s="285"/>
      <c r="B7" s="286" t="s">
        <v>272</v>
      </c>
      <c r="C7" s="285"/>
      <c r="D7" s="821">
        <f>'Dutoan XD'!L100+'Dutoan XD'!M100</f>
        <v>74264342.929999992</v>
      </c>
      <c r="E7" s="285" t="s">
        <v>273</v>
      </c>
      <c r="F7" s="285"/>
      <c r="G7" s="285"/>
    </row>
    <row r="8" spans="1:8" ht="18" customHeight="1">
      <c r="A8" s="285"/>
      <c r="B8" s="286" t="s">
        <v>274</v>
      </c>
      <c r="C8" s="285"/>
      <c r="D8" s="287"/>
      <c r="E8" s="285" t="s">
        <v>876</v>
      </c>
      <c r="F8" s="285"/>
      <c r="G8" s="285"/>
    </row>
    <row r="9" spans="1:8" ht="18" customHeight="1">
      <c r="A9" s="285"/>
      <c r="B9" s="286" t="s">
        <v>275</v>
      </c>
      <c r="C9" s="285"/>
      <c r="D9" s="287">
        <f>'Dutoan XD'!N100</f>
        <v>10015056.649999999</v>
      </c>
      <c r="E9" s="285" t="s">
        <v>659</v>
      </c>
      <c r="F9" s="285"/>
      <c r="G9" s="285"/>
    </row>
    <row r="10" spans="1:8" ht="18" customHeight="1">
      <c r="A10" s="789"/>
      <c r="B10" s="286" t="s">
        <v>855</v>
      </c>
      <c r="C10" s="789"/>
      <c r="D10" s="790"/>
      <c r="E10" s="789" t="s">
        <v>856</v>
      </c>
      <c r="F10" s="789"/>
      <c r="G10" s="789"/>
    </row>
    <row r="11" spans="1:8" ht="18" customHeight="1">
      <c r="A11" s="285"/>
      <c r="B11" s="286" t="s">
        <v>276</v>
      </c>
      <c r="C11" s="285"/>
      <c r="D11" s="287">
        <f>'Dutoan XD'!O100</f>
        <v>1383862.97</v>
      </c>
      <c r="E11" s="285" t="s">
        <v>277</v>
      </c>
      <c r="F11" s="285"/>
      <c r="G11" s="285"/>
    </row>
    <row r="12" spans="1:8" ht="18" customHeight="1">
      <c r="A12" s="285"/>
      <c r="B12" s="286" t="s">
        <v>278</v>
      </c>
      <c r="C12" s="285"/>
      <c r="D12" s="287"/>
      <c r="E12" s="285" t="s">
        <v>279</v>
      </c>
      <c r="F12" s="285"/>
      <c r="G12" s="285"/>
    </row>
    <row r="13" spans="1:8" ht="18" customHeight="1">
      <c r="A13" s="288" t="s">
        <v>173</v>
      </c>
      <c r="B13" s="289" t="s">
        <v>280</v>
      </c>
      <c r="C13" s="285"/>
      <c r="D13" s="287"/>
      <c r="E13" s="285"/>
      <c r="F13" s="285"/>
      <c r="G13" s="285"/>
    </row>
    <row r="14" spans="1:8" s="291" customFormat="1" ht="18" customHeight="1">
      <c r="A14" s="504">
        <v>1</v>
      </c>
      <c r="B14" s="286" t="s">
        <v>272</v>
      </c>
      <c r="C14" s="285" t="str">
        <f>IF('CP xay dung'!F14=0,"A+CLVL",IF('CP xay dung'!D8=0,"A*"&amp;'CP xay dung'!F14,"(A + CLVL) * "&amp;'CP xay dung'!F14))</f>
        <v>A*1</v>
      </c>
      <c r="D14" s="287">
        <f>IF(F14=0,D7+D8,(D7+D8)*F14)</f>
        <v>74264342.929999992</v>
      </c>
      <c r="E14" s="285" t="s">
        <v>281</v>
      </c>
      <c r="F14" s="285">
        <f>ROUND(Ts!$C$12,3)</f>
        <v>1</v>
      </c>
      <c r="G14" s="285"/>
      <c r="H14" s="820"/>
    </row>
    <row r="15" spans="1:8" ht="18" customHeight="1">
      <c r="A15" s="504">
        <v>2</v>
      </c>
      <c r="B15" s="286" t="s">
        <v>275</v>
      </c>
      <c r="C15" s="285" t="str">
        <f>IF('CP xay dung'!F15=0,"B+CLNC",IF('CP xay dung'!$D$10&lt;&gt;0,IF('CP xay dung'!G15&lt;&gt;0,"B*"&amp;'CP xay dung'!F15&amp;"*"&amp;'CP xay dung'!G15&amp;"+CLNC","B*"&amp;'CP xay dung'!F15&amp;"+CLNC"),IF('CP xay dung'!G15&lt;&gt;0,"B*"&amp;'CP xay dung'!F15&amp;"*"&amp;'CP xay dung'!G15,"B*"&amp;'CP xay dung'!F15)))</f>
        <v>B*1</v>
      </c>
      <c r="D15" s="287">
        <f>IF(F15=0,D9+D10,IF(D10&lt;&gt;0,IF(G15&lt;&gt;0,D9*F15*G15+D10,D9*F15+D10),IF(G15&lt;&gt;0,D9*F15*G15,D9*F15)))</f>
        <v>10015056.649999999</v>
      </c>
      <c r="E15" s="285" t="s">
        <v>282</v>
      </c>
      <c r="F15" s="285">
        <f>ROUND(Ts!$C$13,3)</f>
        <v>1</v>
      </c>
      <c r="G15" s="285"/>
      <c r="H15" s="819"/>
    </row>
    <row r="16" spans="1:8" ht="18" customHeight="1">
      <c r="A16" s="504">
        <v>3</v>
      </c>
      <c r="B16" s="286" t="s">
        <v>283</v>
      </c>
      <c r="C16" s="285" t="str">
        <f>IF('CP xay dung'!F16=0,"C+CLM",IF('CP xay dung'!$D$12&lt;&gt;0,IF('CP xay dung'!G16&lt;&gt;0,"C*"&amp;'CP xay dung'!F16&amp;"*"&amp;'CP xay dung'!G16&amp;"+CLM","C*"&amp;'CP xay dung'!F16&amp;"+CLM"),IF('CP xay dung'!G16&lt;&gt;0,"C*"&amp;'CP xay dung'!F16&amp;"*"&amp;'CP xay dung'!G16,"C*"&amp;'CP xay dung'!F16)))</f>
        <v>C*1</v>
      </c>
      <c r="D16" s="821">
        <f>IF($F$16=0,D11+D12,IF(G16&lt;&gt;0,D11*$F$16*G16+D12,D11*$F$16+D12))</f>
        <v>1383862.97</v>
      </c>
      <c r="E16" s="285" t="s">
        <v>284</v>
      </c>
      <c r="F16" s="285">
        <f>ROUND(Ts!$C$14,3)</f>
        <v>1</v>
      </c>
      <c r="G16" s="285"/>
      <c r="H16" s="819"/>
    </row>
    <row r="17" spans="1:7" ht="18" customHeight="1">
      <c r="A17" s="504">
        <v>4</v>
      </c>
      <c r="B17" s="286" t="s">
        <v>285</v>
      </c>
      <c r="C17" s="285" t="str">
        <f>"(VL+NC+M)*"&amp;F17&amp;"%"</f>
        <v>(VL+NC+M)*2,5%</v>
      </c>
      <c r="D17" s="292">
        <f>(D14+D15+D16)*F17%</f>
        <v>2141581.5637499997</v>
      </c>
      <c r="E17" s="285" t="s">
        <v>9</v>
      </c>
      <c r="F17" s="285">
        <f>Ts!$C$15</f>
        <v>2.5</v>
      </c>
      <c r="G17" s="285"/>
    </row>
    <row r="18" spans="1:7" ht="18" customHeight="1">
      <c r="A18" s="290"/>
      <c r="B18" s="293" t="s">
        <v>286</v>
      </c>
      <c r="C18" s="285" t="s">
        <v>287</v>
      </c>
      <c r="D18" s="292">
        <f>SUM(D14:D17)</f>
        <v>87804844.113749981</v>
      </c>
      <c r="E18" s="285" t="s">
        <v>288</v>
      </c>
      <c r="F18" s="285"/>
      <c r="G18" s="285"/>
    </row>
    <row r="19" spans="1:7" ht="18" customHeight="1">
      <c r="A19" s="288" t="s">
        <v>177</v>
      </c>
      <c r="B19" s="289" t="s">
        <v>289</v>
      </c>
      <c r="C19" s="285" t="str">
        <f>"T * "&amp;F19&amp;"%"</f>
        <v>T * 6,5%</v>
      </c>
      <c r="D19" s="292">
        <f>D18*F19%</f>
        <v>5707314.8673937488</v>
      </c>
      <c r="E19" s="285" t="s">
        <v>277</v>
      </c>
      <c r="F19" s="285">
        <f>Ts!$C$16</f>
        <v>6.5</v>
      </c>
      <c r="G19" s="285"/>
    </row>
    <row r="20" spans="1:7" s="291" customFormat="1" ht="18" customHeight="1">
      <c r="A20" s="288" t="s">
        <v>182</v>
      </c>
      <c r="B20" s="289" t="s">
        <v>290</v>
      </c>
      <c r="C20" s="285" t="str">
        <f>"(T+C) * "&amp;F20&amp;"%"</f>
        <v>(T+C) * 5,5%</v>
      </c>
      <c r="D20" s="292">
        <f>(D18+D19)*F20%</f>
        <v>5143168.7439629054</v>
      </c>
      <c r="E20" s="285" t="s">
        <v>186</v>
      </c>
      <c r="F20" s="285">
        <f>Ts!$C$17</f>
        <v>5.5</v>
      </c>
      <c r="G20" s="285"/>
    </row>
    <row r="21" spans="1:7" s="291" customFormat="1" ht="18" customHeight="1">
      <c r="A21" s="290"/>
      <c r="B21" s="293" t="s">
        <v>291</v>
      </c>
      <c r="C21" s="285" t="s">
        <v>292</v>
      </c>
      <c r="D21" s="294">
        <f>D18+D19+D20</f>
        <v>98655327.725106627</v>
      </c>
      <c r="E21" s="867" t="s">
        <v>293</v>
      </c>
      <c r="F21" s="285"/>
      <c r="G21" s="285"/>
    </row>
    <row r="22" spans="1:7" ht="18" customHeight="1">
      <c r="A22" s="288" t="s">
        <v>194</v>
      </c>
      <c r="B22" s="289" t="s">
        <v>294</v>
      </c>
      <c r="C22" s="867" t="s">
        <v>903</v>
      </c>
      <c r="D22" s="292">
        <f>D21*F22%</f>
        <v>9865532.7725106627</v>
      </c>
      <c r="E22" s="867" t="s">
        <v>295</v>
      </c>
      <c r="F22" s="285">
        <f>Ts!$C$18</f>
        <v>10</v>
      </c>
      <c r="G22" s="285"/>
    </row>
    <row r="23" spans="1:7" s="291" customFormat="1" ht="18" customHeight="1">
      <c r="A23" s="288"/>
      <c r="B23" s="293" t="s">
        <v>296</v>
      </c>
      <c r="C23" s="867" t="s">
        <v>297</v>
      </c>
      <c r="D23" s="294">
        <f>D21+D22</f>
        <v>108520860.49761729</v>
      </c>
      <c r="E23" s="867" t="s">
        <v>599</v>
      </c>
      <c r="F23" s="285"/>
      <c r="G23" s="285"/>
    </row>
    <row r="24" spans="1:7" s="291" customFormat="1" ht="29.25" customHeight="1">
      <c r="A24" s="288" t="s">
        <v>195</v>
      </c>
      <c r="B24" s="295" t="s">
        <v>298</v>
      </c>
      <c r="C24" s="867" t="s">
        <v>904</v>
      </c>
      <c r="D24" s="292">
        <f>D23*F24%</f>
        <v>1085208.604976173</v>
      </c>
      <c r="E24" s="867" t="s">
        <v>598</v>
      </c>
      <c r="F24" s="285">
        <f>Ts!$C$19</f>
        <v>1</v>
      </c>
      <c r="G24" s="285"/>
    </row>
    <row r="25" spans="1:7" s="291" customFormat="1" ht="29.25" customHeight="1">
      <c r="A25" s="296"/>
      <c r="B25" s="297" t="s">
        <v>299</v>
      </c>
      <c r="C25" s="868" t="s">
        <v>906</v>
      </c>
      <c r="D25" s="299">
        <f>D23+D24</f>
        <v>109606069.10259347</v>
      </c>
      <c r="E25" s="869"/>
      <c r="F25" s="298"/>
      <c r="G25" s="298"/>
    </row>
    <row r="26" spans="1:7" s="291" customFormat="1" ht="18" customHeight="1">
      <c r="A26" s="297"/>
      <c r="B26" s="300" t="s">
        <v>300</v>
      </c>
      <c r="C26" s="301"/>
      <c r="D26" s="299">
        <f>ROUND(D25,-3)</f>
        <v>109606000</v>
      </c>
      <c r="E26" s="301"/>
      <c r="F26" s="301"/>
      <c r="G26" s="301"/>
    </row>
    <row r="27" spans="1:7" s="306" customFormat="1" ht="18" customHeight="1">
      <c r="A27" s="302"/>
      <c r="B27" s="303"/>
      <c r="C27" s="304"/>
      <c r="D27" s="305"/>
      <c r="E27" s="304"/>
      <c r="F27" s="304"/>
      <c r="G27" s="304"/>
    </row>
    <row r="28" spans="1:7" s="291" customFormat="1" ht="18" customHeight="1">
      <c r="A28" s="307"/>
      <c r="B28" s="307"/>
      <c r="C28" s="307"/>
      <c r="D28" s="307"/>
      <c r="E28" s="307"/>
      <c r="F28" s="307"/>
      <c r="G28" s="307"/>
    </row>
    <row r="29" spans="1:7">
      <c r="A29" s="307"/>
      <c r="B29" s="900"/>
      <c r="C29" s="900"/>
      <c r="D29" s="900"/>
      <c r="E29" s="900"/>
    </row>
    <row r="30" spans="1:7" ht="20.100000000000001" customHeight="1">
      <c r="A30" s="308"/>
      <c r="B30" s="309" t="s">
        <v>70</v>
      </c>
      <c r="C30" s="310" t="s">
        <v>71</v>
      </c>
      <c r="D30" s="311"/>
      <c r="E30" s="312"/>
      <c r="F30" s="312"/>
      <c r="G30" s="312"/>
    </row>
    <row r="31" spans="1:7" customFormat="1" ht="20.100000000000001" customHeight="1">
      <c r="A31" s="308"/>
      <c r="B31" s="309"/>
      <c r="C31" s="310"/>
      <c r="D31" s="311"/>
      <c r="E31" s="312"/>
      <c r="F31" s="312"/>
      <c r="G31" s="312"/>
    </row>
    <row r="32" spans="1:7" customFormat="1" ht="20.100000000000001" customHeight="1">
      <c r="A32" s="307"/>
      <c r="B32" s="307"/>
      <c r="C32" s="310"/>
      <c r="D32" s="307"/>
      <c r="E32" s="307"/>
      <c r="F32" s="307"/>
      <c r="G32" s="307"/>
    </row>
    <row r="33" spans="1:7" customFormat="1" ht="20.100000000000001" customHeight="1">
      <c r="A33" s="307"/>
      <c r="B33" s="307"/>
      <c r="C33" s="310"/>
      <c r="D33" s="307"/>
      <c r="E33" s="307"/>
      <c r="F33" s="307"/>
      <c r="G33" s="307"/>
    </row>
    <row r="34" spans="1:7">
      <c r="A34" s="307"/>
      <c r="B34" s="307"/>
      <c r="C34" s="310"/>
      <c r="D34" s="307"/>
      <c r="E34" s="307"/>
      <c r="F34" s="307"/>
      <c r="G34" s="307"/>
    </row>
    <row r="35" spans="1:7">
      <c r="A35" s="307"/>
      <c r="B35" s="313"/>
      <c r="C35" s="314" t="s">
        <v>72</v>
      </c>
      <c r="D35" s="311"/>
      <c r="E35" s="311"/>
      <c r="F35" s="307"/>
      <c r="G35" s="311"/>
    </row>
    <row r="36" spans="1:7">
      <c r="F36" s="307"/>
    </row>
  </sheetData>
  <phoneticPr fontId="87" type="noConversion"/>
  <hyperlinks>
    <hyperlink ref="A1" location="ML!A1" tooltip="Về mục lục" display="BẢNG TỔNG HỢP DỰ TOÁN CHI PHÍ XÂY DỰNG"/>
  </hyperlinks>
  <printOptions horizontalCentered="1"/>
  <pageMargins left="0.74803149606299202" right="0.23622047244094499" top="0.74803149606299202" bottom="0.511811023622047" header="0.23622047244094499" footer="0.23622047244094499"/>
  <pageSetup paperSize="9" orientation="portrait" blackAndWhite="1" horizontalDpi="300" verticalDpi="300" r:id="rId1"/>
  <headerFooter>
    <oddHeader>&amp;L&amp;"+,nghiêng"&amp;10Dự toán GXD - www.giaxaydung.vn</oddHeader>
    <oddFooter>&amp;C&amp;P</oddFooter>
  </headerFooter>
  <ignoredErrors>
    <ignoredError sqref="D23:D24" formula="1"/>
    <ignoredError sqref="A2:A3" unlockedFormula="1"/>
  </ignoredErrors>
</worksheet>
</file>

<file path=xl/worksheets/sheet9.xml><?xml version="1.0" encoding="utf-8"?>
<worksheet xmlns="http://schemas.openxmlformats.org/spreadsheetml/2006/main" xmlns:r="http://schemas.openxmlformats.org/officeDocument/2006/relationships">
  <sheetPr codeName="shDTXD">
    <tabColor rgb="FFFF0000"/>
  </sheetPr>
  <dimension ref="A1:AA109"/>
  <sheetViews>
    <sheetView showZeros="0" tabSelected="1" workbookViewId="0">
      <selection activeCell="E8" sqref="E8"/>
    </sheetView>
  </sheetViews>
  <sheetFormatPr defaultColWidth="9" defaultRowHeight="15.75"/>
  <cols>
    <col min="1" max="1" width="3.85546875" style="321" customWidth="1"/>
    <col min="2" max="2" width="7.85546875" style="328" hidden="1" customWidth="1"/>
    <col min="3" max="3" width="10.42578125" style="328" hidden="1" customWidth="1"/>
    <col min="4" max="4" width="10.42578125" style="328" customWidth="1"/>
    <col min="5" max="5" width="29.7109375" style="328" customWidth="1"/>
    <col min="6" max="6" width="6.7109375" style="329" customWidth="1"/>
    <col min="7" max="7" width="8.85546875" style="330" customWidth="1"/>
    <col min="8" max="8" width="12.7109375" style="321" customWidth="1"/>
    <col min="9" max="9" width="10" style="321" hidden="1" customWidth="1"/>
    <col min="10" max="10" width="11.7109375" style="321" customWidth="1"/>
    <col min="11" max="11" width="12.7109375" style="321" customWidth="1"/>
    <col min="12" max="12" width="13.7109375" style="321" customWidth="1"/>
    <col min="13" max="13" width="11.42578125" style="321" hidden="1" customWidth="1"/>
    <col min="14" max="14" width="12.7109375" style="321" customWidth="1"/>
    <col min="15" max="15" width="13.7109375" style="321" customWidth="1"/>
    <col min="16" max="16" width="10.42578125" style="321" hidden="1" customWidth="1"/>
    <col min="17" max="20" width="9" style="330" hidden="1" customWidth="1"/>
    <col min="21" max="22" width="11" style="330" hidden="1" customWidth="1"/>
    <col min="23" max="23" width="12" style="321" hidden="1" customWidth="1"/>
    <col min="24" max="24" width="13.42578125" style="320" customWidth="1"/>
    <col min="25" max="25" width="9" style="320"/>
    <col min="26" max="27" width="13.42578125" style="320" customWidth="1"/>
    <col min="28" max="16384" width="9" style="321"/>
  </cols>
  <sheetData>
    <row r="1" spans="1:23" ht="22.5">
      <c r="A1" s="2" t="s">
        <v>301</v>
      </c>
      <c r="B1" s="315"/>
      <c r="C1" s="315"/>
      <c r="D1" s="315"/>
      <c r="E1" s="315"/>
      <c r="F1" s="316"/>
      <c r="G1" s="317"/>
      <c r="H1" s="318"/>
      <c r="I1" s="318"/>
      <c r="J1" s="318"/>
      <c r="K1" s="318"/>
      <c r="L1" s="318"/>
      <c r="M1" s="318"/>
      <c r="N1" s="318"/>
      <c r="O1" s="318"/>
      <c r="P1" s="319"/>
      <c r="Q1" s="319"/>
      <c r="R1" s="319"/>
      <c r="S1" s="319"/>
      <c r="T1" s="319"/>
      <c r="U1" s="319"/>
      <c r="V1" s="319"/>
      <c r="W1" s="319"/>
    </row>
    <row r="2" spans="1:23" ht="20.100000000000001" customHeight="1">
      <c r="A2" s="3" t="str">
        <f>'Bia1'!D42&amp;'Bia1'!E42</f>
        <v>CÔNG TRÌNH: NHÀ BIỆT THỰ GXD</v>
      </c>
      <c r="B2" s="322"/>
      <c r="C2" s="322"/>
      <c r="D2" s="322"/>
      <c r="E2" s="322"/>
      <c r="F2" s="323"/>
      <c r="G2" s="324"/>
      <c r="H2" s="325"/>
      <c r="I2" s="325"/>
      <c r="J2" s="325"/>
      <c r="K2" s="325"/>
      <c r="L2" s="325"/>
      <c r="M2" s="325"/>
      <c r="N2" s="325"/>
      <c r="O2" s="325"/>
      <c r="P2" s="326"/>
      <c r="Q2" s="319"/>
      <c r="R2" s="319"/>
      <c r="S2" s="319"/>
      <c r="T2" s="319"/>
      <c r="U2" s="319"/>
      <c r="V2" s="319"/>
      <c r="W2" s="319"/>
    </row>
    <row r="3" spans="1:23" ht="20.100000000000001" customHeight="1">
      <c r="A3" s="1461" t="str">
        <f>'Bia1'!D43&amp;'Bia1'!E43</f>
        <v>HẠNG MỤC: ĐỔI BẢNG MÃ FONT RẤT ĐƠN GIẢN TRONG DỰ TOÁN GXD</v>
      </c>
      <c r="B3" s="322"/>
      <c r="C3" s="322"/>
      <c r="D3" s="322"/>
      <c r="E3" s="322"/>
      <c r="F3" s="323"/>
      <c r="G3" s="324"/>
      <c r="H3" s="325"/>
      <c r="I3" s="325"/>
      <c r="J3" s="325"/>
      <c r="K3" s="325"/>
      <c r="L3" s="325"/>
      <c r="M3" s="325"/>
      <c r="N3" s="325"/>
      <c r="O3" s="325"/>
      <c r="P3" s="326"/>
      <c r="Q3" s="319"/>
      <c r="R3" s="319"/>
      <c r="S3" s="319"/>
      <c r="T3" s="319"/>
      <c r="U3" s="319"/>
      <c r="V3" s="319"/>
      <c r="W3" s="319"/>
    </row>
    <row r="4" spans="1:23" ht="15" customHeight="1">
      <c r="A4" s="327"/>
      <c r="O4" s="280" t="s">
        <v>956</v>
      </c>
      <c r="Q4" s="321"/>
      <c r="R4" s="321"/>
      <c r="S4" s="321"/>
      <c r="T4" s="321"/>
      <c r="U4" s="321"/>
      <c r="V4" s="321"/>
    </row>
    <row r="5" spans="1:23" ht="16.5" customHeight="1">
      <c r="A5" s="1300" t="s">
        <v>660</v>
      </c>
      <c r="B5" s="1302" t="s">
        <v>352</v>
      </c>
      <c r="C5" s="1302" t="s">
        <v>641</v>
      </c>
      <c r="D5" s="1298" t="s">
        <v>949</v>
      </c>
      <c r="E5" s="1298" t="s">
        <v>303</v>
      </c>
      <c r="F5" s="1302" t="s">
        <v>304</v>
      </c>
      <c r="G5" s="1298" t="s">
        <v>328</v>
      </c>
      <c r="H5" s="331" t="s">
        <v>305</v>
      </c>
      <c r="I5" s="331"/>
      <c r="J5" s="331"/>
      <c r="K5" s="331"/>
      <c r="L5" s="331" t="s">
        <v>306</v>
      </c>
      <c r="M5" s="331"/>
      <c r="N5" s="331"/>
      <c r="O5" s="331"/>
      <c r="P5" s="1304" t="s">
        <v>307</v>
      </c>
      <c r="Q5" s="331" t="s">
        <v>308</v>
      </c>
      <c r="R5" s="331"/>
      <c r="S5" s="331"/>
      <c r="T5" s="1298" t="s">
        <v>309</v>
      </c>
      <c r="U5" s="1298" t="s">
        <v>310</v>
      </c>
      <c r="V5" s="1298" t="s">
        <v>311</v>
      </c>
      <c r="W5" s="1298" t="s">
        <v>312</v>
      </c>
    </row>
    <row r="6" spans="1:23" ht="16.5" customHeight="1">
      <c r="A6" s="1301"/>
      <c r="B6" s="1303"/>
      <c r="C6" s="1303"/>
      <c r="D6" s="1299"/>
      <c r="E6" s="1299"/>
      <c r="F6" s="1303"/>
      <c r="G6" s="1299"/>
      <c r="H6" s="332" t="s">
        <v>314</v>
      </c>
      <c r="I6" s="332" t="s">
        <v>315</v>
      </c>
      <c r="J6" s="332" t="s">
        <v>316</v>
      </c>
      <c r="K6" s="332" t="s">
        <v>317</v>
      </c>
      <c r="L6" s="332" t="s">
        <v>314</v>
      </c>
      <c r="M6" s="332" t="s">
        <v>315</v>
      </c>
      <c r="N6" s="332" t="s">
        <v>316</v>
      </c>
      <c r="O6" s="332" t="s">
        <v>317</v>
      </c>
      <c r="P6" s="1305"/>
      <c r="Q6" s="332" t="s">
        <v>318</v>
      </c>
      <c r="R6" s="332" t="s">
        <v>319</v>
      </c>
      <c r="S6" s="332" t="s">
        <v>320</v>
      </c>
      <c r="T6" s="1299"/>
      <c r="U6" s="1299"/>
      <c r="V6" s="1299"/>
      <c r="W6" s="1299"/>
    </row>
    <row r="7" spans="1:23">
      <c r="A7" s="871" t="s">
        <v>908</v>
      </c>
      <c r="B7" s="871" t="s">
        <v>909</v>
      </c>
      <c r="C7" s="871" t="s">
        <v>910</v>
      </c>
      <c r="D7" s="872" t="s">
        <v>911</v>
      </c>
      <c r="E7" s="872" t="s">
        <v>912</v>
      </c>
      <c r="F7" s="873" t="s">
        <v>913</v>
      </c>
      <c r="G7" s="874" t="s">
        <v>914</v>
      </c>
      <c r="H7" s="875" t="s">
        <v>915</v>
      </c>
      <c r="I7" s="875" t="s">
        <v>916</v>
      </c>
      <c r="J7" s="875" t="s">
        <v>917</v>
      </c>
      <c r="K7" s="875" t="s">
        <v>918</v>
      </c>
      <c r="L7" s="875" t="s">
        <v>919</v>
      </c>
      <c r="M7" s="875" t="s">
        <v>920</v>
      </c>
      <c r="N7" s="875" t="s">
        <v>921</v>
      </c>
      <c r="O7" s="875" t="s">
        <v>922</v>
      </c>
      <c r="P7" s="874" t="s">
        <v>914</v>
      </c>
      <c r="Q7" s="875" t="s">
        <v>915</v>
      </c>
      <c r="R7" s="875" t="s">
        <v>916</v>
      </c>
      <c r="S7" s="875" t="s">
        <v>917</v>
      </c>
      <c r="T7" s="875" t="s">
        <v>918</v>
      </c>
      <c r="U7" s="875" t="s">
        <v>923</v>
      </c>
      <c r="V7" s="875" t="s">
        <v>927</v>
      </c>
      <c r="W7" s="875" t="s">
        <v>928</v>
      </c>
    </row>
    <row r="8" spans="1:23">
      <c r="A8" s="1453"/>
      <c r="B8" s="1453"/>
      <c r="C8" s="1453"/>
      <c r="D8" s="1454"/>
      <c r="E8" s="1459" t="s">
        <v>1317</v>
      </c>
      <c r="F8" s="1455"/>
      <c r="G8" s="1458"/>
      <c r="H8" s="1457"/>
      <c r="I8" s="1457"/>
      <c r="J8" s="1457"/>
      <c r="K8" s="1457"/>
      <c r="L8" s="1457"/>
      <c r="M8" s="1457"/>
      <c r="N8" s="1457"/>
      <c r="O8" s="1457"/>
      <c r="P8" s="1456"/>
      <c r="Q8" s="1457"/>
      <c r="R8" s="1457"/>
      <c r="S8" s="1457"/>
      <c r="T8" s="1457"/>
      <c r="U8" s="1457"/>
      <c r="V8" s="1457"/>
      <c r="W8" s="1457"/>
    </row>
    <row r="9" spans="1:23" ht="31.5">
      <c r="A9" s="881"/>
      <c r="B9" s="476"/>
      <c r="C9" s="476" t="s">
        <v>1151</v>
      </c>
      <c r="D9" s="889" t="s">
        <v>1151</v>
      </c>
      <c r="E9" s="762" t="s">
        <v>1152</v>
      </c>
      <c r="F9" s="477" t="s">
        <v>1309</v>
      </c>
      <c r="G9" s="334">
        <v>5</v>
      </c>
      <c r="H9" s="1450">
        <v>162400</v>
      </c>
      <c r="I9" s="1450"/>
      <c r="J9" s="1450">
        <v>20106</v>
      </c>
      <c r="K9" s="1450"/>
      <c r="L9" s="333">
        <f>G9*H9</f>
        <v>812000</v>
      </c>
      <c r="M9" s="333">
        <f>G9*I9</f>
        <v>0</v>
      </c>
      <c r="N9" s="333">
        <f>G9*J9</f>
        <v>100530</v>
      </c>
      <c r="O9" s="333">
        <f>G9*K9</f>
        <v>0</v>
      </c>
      <c r="P9" s="333"/>
      <c r="Q9" s="334"/>
      <c r="R9" s="334"/>
      <c r="S9" s="334"/>
      <c r="T9" s="334"/>
      <c r="U9" s="334"/>
      <c r="V9" s="334"/>
      <c r="W9" s="335"/>
    </row>
    <row r="10" spans="1:23" ht="31.5">
      <c r="A10" s="475"/>
      <c r="B10" s="476"/>
      <c r="C10" s="476" t="s">
        <v>1154</v>
      </c>
      <c r="D10" s="478" t="s">
        <v>1154</v>
      </c>
      <c r="E10" s="762" t="s">
        <v>1155</v>
      </c>
      <c r="F10" s="477" t="s">
        <v>1309</v>
      </c>
      <c r="G10" s="334">
        <v>6</v>
      </c>
      <c r="H10" s="1450">
        <v>91800</v>
      </c>
      <c r="I10" s="1450"/>
      <c r="J10" s="1450">
        <v>14242</v>
      </c>
      <c r="K10" s="1450"/>
      <c r="L10" s="333">
        <f>G10*H10</f>
        <v>550800</v>
      </c>
      <c r="M10" s="333">
        <f>G10*I10</f>
        <v>0</v>
      </c>
      <c r="N10" s="333">
        <f>G10*J10</f>
        <v>85452</v>
      </c>
      <c r="O10" s="333">
        <f>G10*K10</f>
        <v>0</v>
      </c>
      <c r="P10" s="333"/>
      <c r="Q10" s="334"/>
      <c r="R10" s="334"/>
      <c r="S10" s="334"/>
      <c r="T10" s="334"/>
      <c r="U10" s="334"/>
      <c r="V10" s="334"/>
      <c r="W10" s="335"/>
    </row>
    <row r="11" spans="1:23" ht="31.5">
      <c r="A11" s="475"/>
      <c r="B11" s="476"/>
      <c r="C11" s="476" t="s">
        <v>1156</v>
      </c>
      <c r="D11" s="478" t="s">
        <v>1156</v>
      </c>
      <c r="E11" s="764" t="s">
        <v>1157</v>
      </c>
      <c r="F11" s="477" t="s">
        <v>1309</v>
      </c>
      <c r="G11" s="334">
        <v>5</v>
      </c>
      <c r="H11" s="1450">
        <v>77250</v>
      </c>
      <c r="I11" s="1450"/>
      <c r="J11" s="1450">
        <v>6283</v>
      </c>
      <c r="K11" s="1450"/>
      <c r="L11" s="333">
        <f>G11*H11</f>
        <v>386250</v>
      </c>
      <c r="M11" s="333">
        <f>G11*I11</f>
        <v>0</v>
      </c>
      <c r="N11" s="333">
        <f>G11*J11</f>
        <v>31415</v>
      </c>
      <c r="O11" s="333">
        <f>G11*K11</f>
        <v>0</v>
      </c>
      <c r="P11" s="333"/>
      <c r="Q11" s="334"/>
      <c r="R11" s="334"/>
      <c r="S11" s="334"/>
      <c r="T11" s="334"/>
      <c r="U11" s="334"/>
      <c r="V11" s="334"/>
      <c r="W11" s="335"/>
    </row>
    <row r="12" spans="1:23" ht="31.5">
      <c r="A12" s="475"/>
      <c r="B12" s="476"/>
      <c r="C12" s="476" t="s">
        <v>1158</v>
      </c>
      <c r="D12" s="478" t="s">
        <v>1158</v>
      </c>
      <c r="E12" s="762" t="s">
        <v>1159</v>
      </c>
      <c r="F12" s="477" t="s">
        <v>1309</v>
      </c>
      <c r="G12" s="334">
        <v>1</v>
      </c>
      <c r="H12" s="1450">
        <v>900450</v>
      </c>
      <c r="I12" s="1450"/>
      <c r="J12" s="1450">
        <v>12566</v>
      </c>
      <c r="K12" s="1450"/>
      <c r="L12" s="333">
        <f>G12*H12</f>
        <v>900450</v>
      </c>
      <c r="M12" s="333">
        <f>G12*I12</f>
        <v>0</v>
      </c>
      <c r="N12" s="333">
        <f>G12*J12</f>
        <v>12566</v>
      </c>
      <c r="O12" s="333">
        <f>G12*K12</f>
        <v>0</v>
      </c>
      <c r="P12" s="333"/>
      <c r="Q12" s="334"/>
      <c r="R12" s="334"/>
      <c r="S12" s="334"/>
      <c r="T12" s="334"/>
      <c r="U12" s="334"/>
      <c r="V12" s="334"/>
      <c r="W12" s="335"/>
    </row>
    <row r="13" spans="1:23">
      <c r="A13" s="475"/>
      <c r="B13" s="476"/>
      <c r="C13" s="476" t="s">
        <v>1160</v>
      </c>
      <c r="D13" s="478" t="s">
        <v>1160</v>
      </c>
      <c r="E13" s="762" t="s">
        <v>1161</v>
      </c>
      <c r="F13" s="477" t="s">
        <v>1309</v>
      </c>
      <c r="G13" s="334">
        <v>3</v>
      </c>
      <c r="H13" s="1450">
        <v>257500</v>
      </c>
      <c r="I13" s="1450"/>
      <c r="J13" s="1450">
        <v>8377</v>
      </c>
      <c r="K13" s="1450"/>
      <c r="L13" s="333">
        <f>G13*H13</f>
        <v>772500</v>
      </c>
      <c r="M13" s="333">
        <f>G13*I13</f>
        <v>0</v>
      </c>
      <c r="N13" s="333">
        <f>G13*J13</f>
        <v>25131</v>
      </c>
      <c r="O13" s="333">
        <f>G13*K13</f>
        <v>0</v>
      </c>
      <c r="P13" s="333"/>
      <c r="Q13" s="334"/>
      <c r="R13" s="334"/>
      <c r="S13" s="334"/>
      <c r="T13" s="334"/>
      <c r="U13" s="334"/>
      <c r="V13" s="334"/>
      <c r="W13" s="335"/>
    </row>
    <row r="14" spans="1:23">
      <c r="A14" s="475"/>
      <c r="B14" s="476"/>
      <c r="C14" s="476"/>
      <c r="D14" s="1451" t="s">
        <v>9</v>
      </c>
      <c r="E14" s="762" t="s">
        <v>1162</v>
      </c>
      <c r="F14" s="477" t="s">
        <v>1153</v>
      </c>
      <c r="G14" s="334">
        <v>2</v>
      </c>
      <c r="H14" s="333">
        <v>1000000</v>
      </c>
      <c r="I14" s="333">
        <v>0</v>
      </c>
      <c r="J14" s="333">
        <v>0</v>
      </c>
      <c r="K14" s="333">
        <v>0</v>
      </c>
      <c r="L14" s="333">
        <f>G14*H14</f>
        <v>2000000</v>
      </c>
      <c r="M14" s="333">
        <f>G14*I14</f>
        <v>0</v>
      </c>
      <c r="N14" s="333">
        <f>G14*J14</f>
        <v>0</v>
      </c>
      <c r="O14" s="333">
        <f>G14*K14</f>
        <v>0</v>
      </c>
      <c r="P14" s="333"/>
      <c r="Q14" s="334"/>
      <c r="R14" s="334"/>
      <c r="S14" s="334"/>
      <c r="T14" s="334"/>
      <c r="U14" s="334"/>
      <c r="V14" s="334"/>
      <c r="W14" s="335"/>
    </row>
    <row r="15" spans="1:23" ht="31.5">
      <c r="A15" s="475"/>
      <c r="B15" s="476"/>
      <c r="C15" s="476" t="s">
        <v>1163</v>
      </c>
      <c r="D15" s="478" t="s">
        <v>1163</v>
      </c>
      <c r="E15" s="762" t="s">
        <v>1164</v>
      </c>
      <c r="F15" s="477" t="s">
        <v>1309</v>
      </c>
      <c r="G15" s="334">
        <v>9</v>
      </c>
      <c r="H15" s="1450">
        <v>103000</v>
      </c>
      <c r="I15" s="1450"/>
      <c r="J15" s="1450">
        <v>7540</v>
      </c>
      <c r="K15" s="1450"/>
      <c r="L15" s="333">
        <f>G15*H15</f>
        <v>927000</v>
      </c>
      <c r="M15" s="333">
        <f>G15*I15</f>
        <v>0</v>
      </c>
      <c r="N15" s="333">
        <f>G15*J15</f>
        <v>67860</v>
      </c>
      <c r="O15" s="333">
        <f>G15*K15</f>
        <v>0</v>
      </c>
      <c r="P15" s="333"/>
      <c r="Q15" s="334"/>
      <c r="R15" s="334"/>
      <c r="S15" s="334"/>
      <c r="T15" s="334"/>
      <c r="U15" s="334"/>
      <c r="V15" s="334"/>
      <c r="W15" s="335"/>
    </row>
    <row r="16" spans="1:23" ht="31.5">
      <c r="A16" s="475"/>
      <c r="B16" s="476"/>
      <c r="C16" s="476" t="s">
        <v>1165</v>
      </c>
      <c r="D16" s="478" t="s">
        <v>1165</v>
      </c>
      <c r="E16" s="762" t="s">
        <v>1166</v>
      </c>
      <c r="F16" s="477" t="s">
        <v>1309</v>
      </c>
      <c r="G16" s="334">
        <v>1</v>
      </c>
      <c r="H16" s="1450">
        <v>51500</v>
      </c>
      <c r="I16" s="1450"/>
      <c r="J16" s="1450">
        <v>5026</v>
      </c>
      <c r="K16" s="1450"/>
      <c r="L16" s="333">
        <f>G16*H16</f>
        <v>51500</v>
      </c>
      <c r="M16" s="333">
        <f>G16*I16</f>
        <v>0</v>
      </c>
      <c r="N16" s="333">
        <f>G16*J16</f>
        <v>5026</v>
      </c>
      <c r="O16" s="333">
        <f>G16*K16</f>
        <v>0</v>
      </c>
      <c r="P16" s="333"/>
      <c r="Q16" s="334"/>
      <c r="R16" s="334"/>
      <c r="S16" s="334"/>
      <c r="T16" s="334"/>
      <c r="U16" s="334"/>
      <c r="V16" s="334"/>
      <c r="W16" s="335"/>
    </row>
    <row r="17" spans="1:23" ht="31.5">
      <c r="A17" s="475"/>
      <c r="B17" s="476"/>
      <c r="C17" s="476" t="s">
        <v>1156</v>
      </c>
      <c r="D17" s="478" t="s">
        <v>1156</v>
      </c>
      <c r="E17" s="762" t="s">
        <v>1167</v>
      </c>
      <c r="F17" s="477" t="s">
        <v>1309</v>
      </c>
      <c r="G17" s="334">
        <v>1</v>
      </c>
      <c r="H17" s="1450">
        <v>77250</v>
      </c>
      <c r="I17" s="1450"/>
      <c r="J17" s="1450">
        <v>6283</v>
      </c>
      <c r="K17" s="1450"/>
      <c r="L17" s="333">
        <f>G17*H17</f>
        <v>77250</v>
      </c>
      <c r="M17" s="333">
        <f>G17*I17</f>
        <v>0</v>
      </c>
      <c r="N17" s="333">
        <f>G17*J17</f>
        <v>6283</v>
      </c>
      <c r="O17" s="333">
        <f>G17*K17</f>
        <v>0</v>
      </c>
      <c r="P17" s="333"/>
      <c r="Q17" s="334"/>
      <c r="R17" s="334"/>
      <c r="S17" s="334"/>
      <c r="T17" s="334"/>
      <c r="U17" s="334"/>
      <c r="V17" s="334"/>
      <c r="W17" s="335"/>
    </row>
    <row r="18" spans="1:23" ht="31.5">
      <c r="A18" s="475"/>
      <c r="B18" s="476"/>
      <c r="C18" s="476" t="s">
        <v>1156</v>
      </c>
      <c r="D18" s="478" t="s">
        <v>1156</v>
      </c>
      <c r="E18" s="762" t="s">
        <v>1168</v>
      </c>
      <c r="F18" s="477" t="s">
        <v>1309</v>
      </c>
      <c r="G18" s="334">
        <v>5</v>
      </c>
      <c r="H18" s="1450">
        <v>77250</v>
      </c>
      <c r="I18" s="1450"/>
      <c r="J18" s="1450">
        <v>6283</v>
      </c>
      <c r="K18" s="1450"/>
      <c r="L18" s="333">
        <f>G18*H18</f>
        <v>386250</v>
      </c>
      <c r="M18" s="333">
        <f>G18*I18</f>
        <v>0</v>
      </c>
      <c r="N18" s="333">
        <f>G18*J18</f>
        <v>31415</v>
      </c>
      <c r="O18" s="333">
        <f>G18*K18</f>
        <v>0</v>
      </c>
      <c r="P18" s="333"/>
      <c r="Q18" s="334"/>
      <c r="R18" s="334"/>
      <c r="S18" s="334"/>
      <c r="T18" s="334"/>
      <c r="U18" s="334"/>
      <c r="V18" s="334"/>
      <c r="W18" s="335"/>
    </row>
    <row r="19" spans="1:23" ht="31.5">
      <c r="A19" s="475"/>
      <c r="B19" s="476"/>
      <c r="C19" s="476" t="s">
        <v>1165</v>
      </c>
      <c r="D19" s="478" t="s">
        <v>1165</v>
      </c>
      <c r="E19" s="762" t="s">
        <v>1169</v>
      </c>
      <c r="F19" s="477" t="s">
        <v>1309</v>
      </c>
      <c r="G19" s="334">
        <v>2</v>
      </c>
      <c r="H19" s="1450">
        <v>51500</v>
      </c>
      <c r="I19" s="1450"/>
      <c r="J19" s="1450">
        <v>5026</v>
      </c>
      <c r="K19" s="1450"/>
      <c r="L19" s="333">
        <f>G19*H19</f>
        <v>103000</v>
      </c>
      <c r="M19" s="333">
        <f>G19*I19</f>
        <v>0</v>
      </c>
      <c r="N19" s="333">
        <f>G19*J19</f>
        <v>10052</v>
      </c>
      <c r="O19" s="333">
        <f>G19*K19</f>
        <v>0</v>
      </c>
      <c r="P19" s="333"/>
      <c r="Q19" s="334"/>
      <c r="R19" s="334"/>
      <c r="S19" s="334"/>
      <c r="T19" s="334"/>
      <c r="U19" s="334"/>
      <c r="V19" s="334"/>
      <c r="W19" s="335"/>
    </row>
    <row r="20" spans="1:23">
      <c r="A20" s="475"/>
      <c r="B20" s="476"/>
      <c r="C20" s="476"/>
      <c r="D20" s="1451" t="s">
        <v>9</v>
      </c>
      <c r="E20" s="762" t="s">
        <v>1170</v>
      </c>
      <c r="F20" s="477" t="s">
        <v>1153</v>
      </c>
      <c r="G20" s="334">
        <v>5</v>
      </c>
      <c r="H20" s="333">
        <v>250000</v>
      </c>
      <c r="I20" s="333">
        <v>0</v>
      </c>
      <c r="J20" s="333">
        <v>0</v>
      </c>
      <c r="K20" s="333">
        <v>0</v>
      </c>
      <c r="L20" s="333">
        <f>G20*H20</f>
        <v>1250000</v>
      </c>
      <c r="M20" s="333">
        <f>G20*I20</f>
        <v>0</v>
      </c>
      <c r="N20" s="333">
        <f>G20*J20</f>
        <v>0</v>
      </c>
      <c r="O20" s="333">
        <f>G20*K20</f>
        <v>0</v>
      </c>
      <c r="P20" s="333"/>
      <c r="Q20" s="334"/>
      <c r="R20" s="334"/>
      <c r="S20" s="334"/>
      <c r="T20" s="334"/>
      <c r="U20" s="334"/>
      <c r="V20" s="334"/>
      <c r="W20" s="335"/>
    </row>
    <row r="21" spans="1:23">
      <c r="A21" s="475"/>
      <c r="B21" s="476"/>
      <c r="C21" s="476"/>
      <c r="D21" s="1451" t="s">
        <v>9</v>
      </c>
      <c r="E21" s="762" t="s">
        <v>1171</v>
      </c>
      <c r="F21" s="477" t="s">
        <v>1153</v>
      </c>
      <c r="G21" s="334">
        <v>2</v>
      </c>
      <c r="H21" s="333">
        <v>200000</v>
      </c>
      <c r="I21" s="333">
        <v>0</v>
      </c>
      <c r="J21" s="333">
        <v>0</v>
      </c>
      <c r="K21" s="333">
        <v>0</v>
      </c>
      <c r="L21" s="333">
        <f>G21*H21</f>
        <v>400000</v>
      </c>
      <c r="M21" s="333">
        <f>G21*I21</f>
        <v>0</v>
      </c>
      <c r="N21" s="333">
        <f>G21*J21</f>
        <v>0</v>
      </c>
      <c r="O21" s="333">
        <f>G21*K21</f>
        <v>0</v>
      </c>
      <c r="P21" s="333"/>
      <c r="Q21" s="334"/>
      <c r="R21" s="334"/>
      <c r="S21" s="334"/>
      <c r="T21" s="334"/>
      <c r="U21" s="334"/>
      <c r="V21" s="334"/>
      <c r="W21" s="335"/>
    </row>
    <row r="22" spans="1:23" ht="31.5">
      <c r="A22" s="475"/>
      <c r="B22" s="476"/>
      <c r="C22" s="476" t="s">
        <v>1165</v>
      </c>
      <c r="D22" s="478" t="s">
        <v>1165</v>
      </c>
      <c r="E22" s="762" t="s">
        <v>1172</v>
      </c>
      <c r="F22" s="477" t="s">
        <v>1309</v>
      </c>
      <c r="G22" s="334">
        <v>4</v>
      </c>
      <c r="H22" s="1450">
        <v>51500</v>
      </c>
      <c r="I22" s="1450"/>
      <c r="J22" s="1450">
        <v>5026</v>
      </c>
      <c r="K22" s="1450"/>
      <c r="L22" s="333">
        <f>G22*H22</f>
        <v>206000</v>
      </c>
      <c r="M22" s="333">
        <f>G22*I22</f>
        <v>0</v>
      </c>
      <c r="N22" s="333">
        <f>G22*J22</f>
        <v>20104</v>
      </c>
      <c r="O22" s="333">
        <f>G22*K22</f>
        <v>0</v>
      </c>
      <c r="P22" s="333"/>
      <c r="Q22" s="334"/>
      <c r="R22" s="334"/>
      <c r="S22" s="334"/>
      <c r="T22" s="334"/>
      <c r="U22" s="334"/>
      <c r="V22" s="334"/>
      <c r="W22" s="335"/>
    </row>
    <row r="23" spans="1:23" ht="31.5">
      <c r="A23" s="475"/>
      <c r="B23" s="476"/>
      <c r="C23" s="476" t="s">
        <v>1173</v>
      </c>
      <c r="D23" s="478" t="s">
        <v>1173</v>
      </c>
      <c r="E23" s="762" t="s">
        <v>1174</v>
      </c>
      <c r="F23" s="477" t="s">
        <v>1309</v>
      </c>
      <c r="G23" s="334">
        <v>4</v>
      </c>
      <c r="H23" s="1450">
        <v>60900</v>
      </c>
      <c r="I23" s="1450"/>
      <c r="J23" s="1450">
        <v>6283</v>
      </c>
      <c r="K23" s="1450"/>
      <c r="L23" s="333">
        <f>G23*H23</f>
        <v>243600</v>
      </c>
      <c r="M23" s="333">
        <f>G23*I23</f>
        <v>0</v>
      </c>
      <c r="N23" s="333">
        <f>G23*J23</f>
        <v>25132</v>
      </c>
      <c r="O23" s="333">
        <f>G23*K23</f>
        <v>0</v>
      </c>
      <c r="P23" s="333"/>
      <c r="Q23" s="334"/>
      <c r="R23" s="334"/>
      <c r="S23" s="334"/>
      <c r="T23" s="334"/>
      <c r="U23" s="334"/>
      <c r="V23" s="334"/>
      <c r="W23" s="335"/>
    </row>
    <row r="24" spans="1:23" ht="31.5">
      <c r="A24" s="475"/>
      <c r="B24" s="476"/>
      <c r="C24" s="476" t="s">
        <v>1165</v>
      </c>
      <c r="D24" s="478" t="s">
        <v>1165</v>
      </c>
      <c r="E24" s="762" t="s">
        <v>1175</v>
      </c>
      <c r="F24" s="477" t="s">
        <v>1309</v>
      </c>
      <c r="G24" s="334">
        <v>4</v>
      </c>
      <c r="H24" s="1450">
        <v>51500</v>
      </c>
      <c r="I24" s="1450"/>
      <c r="J24" s="1450">
        <v>5026</v>
      </c>
      <c r="K24" s="1450"/>
      <c r="L24" s="333">
        <f>G24*H24</f>
        <v>206000</v>
      </c>
      <c r="M24" s="333">
        <f>G24*I24</f>
        <v>0</v>
      </c>
      <c r="N24" s="333">
        <f>G24*J24</f>
        <v>20104</v>
      </c>
      <c r="O24" s="333">
        <f>G24*K24</f>
        <v>0</v>
      </c>
      <c r="P24" s="333"/>
      <c r="Q24" s="334"/>
      <c r="R24" s="334"/>
      <c r="S24" s="334"/>
      <c r="T24" s="334"/>
      <c r="U24" s="334"/>
      <c r="V24" s="334"/>
      <c r="W24" s="335"/>
    </row>
    <row r="25" spans="1:23" ht="31.5">
      <c r="A25" s="475"/>
      <c r="B25" s="476"/>
      <c r="C25" s="476" t="s">
        <v>1176</v>
      </c>
      <c r="D25" s="478" t="s">
        <v>1176</v>
      </c>
      <c r="E25" s="762" t="s">
        <v>1177</v>
      </c>
      <c r="F25" s="477" t="s">
        <v>1310</v>
      </c>
      <c r="G25" s="334">
        <v>4</v>
      </c>
      <c r="H25" s="1450">
        <v>35175</v>
      </c>
      <c r="I25" s="1450"/>
      <c r="J25" s="1450">
        <v>5864</v>
      </c>
      <c r="K25" s="1450"/>
      <c r="L25" s="333">
        <f>G25*H25</f>
        <v>140700</v>
      </c>
      <c r="M25" s="333">
        <f>G25*I25</f>
        <v>0</v>
      </c>
      <c r="N25" s="333">
        <f>G25*J25</f>
        <v>23456</v>
      </c>
      <c r="O25" s="333">
        <f>G25*K25</f>
        <v>0</v>
      </c>
      <c r="P25" s="333"/>
      <c r="Q25" s="334"/>
      <c r="R25" s="334"/>
      <c r="S25" s="334"/>
      <c r="T25" s="334"/>
      <c r="U25" s="334"/>
      <c r="V25" s="334"/>
      <c r="W25" s="335"/>
    </row>
    <row r="26" spans="1:23" ht="31.5">
      <c r="A26" s="475"/>
      <c r="B26" s="476"/>
      <c r="C26" s="476" t="s">
        <v>1179</v>
      </c>
      <c r="D26" s="478" t="s">
        <v>1179</v>
      </c>
      <c r="E26" s="762" t="s">
        <v>1180</v>
      </c>
      <c r="F26" s="477" t="s">
        <v>1310</v>
      </c>
      <c r="G26" s="334">
        <v>9</v>
      </c>
      <c r="H26" s="1450">
        <v>5025</v>
      </c>
      <c r="I26" s="1450"/>
      <c r="J26" s="1450">
        <v>4189</v>
      </c>
      <c r="K26" s="1450"/>
      <c r="L26" s="333">
        <f>G26*H26</f>
        <v>45225</v>
      </c>
      <c r="M26" s="333">
        <f>G26*I26</f>
        <v>0</v>
      </c>
      <c r="N26" s="333">
        <f>G26*J26</f>
        <v>37701</v>
      </c>
      <c r="O26" s="333">
        <f>G26*K26</f>
        <v>0</v>
      </c>
      <c r="P26" s="333"/>
      <c r="Q26" s="334"/>
      <c r="R26" s="334"/>
      <c r="S26" s="334"/>
      <c r="T26" s="334"/>
      <c r="U26" s="334"/>
      <c r="V26" s="334"/>
      <c r="W26" s="335"/>
    </row>
    <row r="27" spans="1:23" ht="31.5">
      <c r="A27" s="475"/>
      <c r="B27" s="476"/>
      <c r="C27" s="476" t="s">
        <v>1181</v>
      </c>
      <c r="D27" s="478" t="s">
        <v>1181</v>
      </c>
      <c r="E27" s="762" t="s">
        <v>1182</v>
      </c>
      <c r="F27" s="477" t="s">
        <v>1310</v>
      </c>
      <c r="G27" s="334">
        <v>7</v>
      </c>
      <c r="H27" s="1450">
        <v>10050</v>
      </c>
      <c r="I27" s="1450"/>
      <c r="J27" s="1450">
        <v>4608</v>
      </c>
      <c r="K27" s="1450"/>
      <c r="L27" s="333">
        <f>G27*H27</f>
        <v>70350</v>
      </c>
      <c r="M27" s="333">
        <f>G27*I27</f>
        <v>0</v>
      </c>
      <c r="N27" s="333">
        <f>G27*J27</f>
        <v>32256</v>
      </c>
      <c r="O27" s="333">
        <f>G27*K27</f>
        <v>0</v>
      </c>
      <c r="P27" s="333"/>
      <c r="Q27" s="334"/>
      <c r="R27" s="334"/>
      <c r="S27" s="334"/>
      <c r="T27" s="334"/>
      <c r="U27" s="334"/>
      <c r="V27" s="334"/>
      <c r="W27" s="335"/>
    </row>
    <row r="28" spans="1:23" ht="31.5">
      <c r="A28" s="475"/>
      <c r="B28" s="476"/>
      <c r="C28" s="476" t="s">
        <v>1183</v>
      </c>
      <c r="D28" s="478" t="s">
        <v>1183</v>
      </c>
      <c r="E28" s="762" t="s">
        <v>1184</v>
      </c>
      <c r="F28" s="477" t="s">
        <v>1310</v>
      </c>
      <c r="G28" s="334">
        <v>1</v>
      </c>
      <c r="H28" s="1450">
        <v>15075</v>
      </c>
      <c r="I28" s="1450"/>
      <c r="J28" s="1450">
        <v>5026</v>
      </c>
      <c r="K28" s="1450"/>
      <c r="L28" s="333">
        <f>G28*H28</f>
        <v>15075</v>
      </c>
      <c r="M28" s="333">
        <f>G28*I28</f>
        <v>0</v>
      </c>
      <c r="N28" s="333">
        <f>G28*J28</f>
        <v>5026</v>
      </c>
      <c r="O28" s="333">
        <f>G28*K28</f>
        <v>0</v>
      </c>
      <c r="P28" s="333"/>
      <c r="Q28" s="334"/>
      <c r="R28" s="334"/>
      <c r="S28" s="334"/>
      <c r="T28" s="334"/>
      <c r="U28" s="334"/>
      <c r="V28" s="334"/>
      <c r="W28" s="335"/>
    </row>
    <row r="29" spans="1:23" ht="31.5">
      <c r="A29" s="475"/>
      <c r="B29" s="476"/>
      <c r="C29" s="476" t="s">
        <v>1185</v>
      </c>
      <c r="D29" s="478" t="s">
        <v>1185</v>
      </c>
      <c r="E29" s="762" t="s">
        <v>1186</v>
      </c>
      <c r="F29" s="477" t="s">
        <v>1310</v>
      </c>
      <c r="G29" s="334">
        <v>5</v>
      </c>
      <c r="H29" s="1450">
        <v>20100</v>
      </c>
      <c r="I29" s="1450"/>
      <c r="J29" s="1450">
        <v>5445</v>
      </c>
      <c r="K29" s="1450"/>
      <c r="L29" s="333">
        <f>G29*H29</f>
        <v>100500</v>
      </c>
      <c r="M29" s="333">
        <f>G29*I29</f>
        <v>0</v>
      </c>
      <c r="N29" s="333">
        <f>G29*J29</f>
        <v>27225</v>
      </c>
      <c r="O29" s="333">
        <f>G29*K29</f>
        <v>0</v>
      </c>
      <c r="P29" s="333"/>
      <c r="Q29" s="334"/>
      <c r="R29" s="334"/>
      <c r="S29" s="334"/>
      <c r="T29" s="334"/>
      <c r="U29" s="334"/>
      <c r="V29" s="334"/>
      <c r="W29" s="335"/>
    </row>
    <row r="30" spans="1:23" ht="31.5">
      <c r="A30" s="475"/>
      <c r="B30" s="476"/>
      <c r="C30" s="476" t="s">
        <v>1187</v>
      </c>
      <c r="D30" s="478" t="s">
        <v>1187</v>
      </c>
      <c r="E30" s="762" t="s">
        <v>1188</v>
      </c>
      <c r="F30" s="477" t="s">
        <v>1310</v>
      </c>
      <c r="G30" s="334">
        <v>31</v>
      </c>
      <c r="H30" s="1450">
        <v>45225</v>
      </c>
      <c r="I30" s="1450"/>
      <c r="J30" s="1450">
        <v>4608</v>
      </c>
      <c r="K30" s="1450"/>
      <c r="L30" s="333">
        <f>G30*H30</f>
        <v>1401975</v>
      </c>
      <c r="M30" s="333">
        <f>G30*I30</f>
        <v>0</v>
      </c>
      <c r="N30" s="333">
        <f>G30*J30</f>
        <v>142848</v>
      </c>
      <c r="O30" s="333">
        <f>G30*K30</f>
        <v>0</v>
      </c>
      <c r="P30" s="333"/>
      <c r="Q30" s="334"/>
      <c r="R30" s="334"/>
      <c r="S30" s="334"/>
      <c r="T30" s="334"/>
      <c r="U30" s="334"/>
      <c r="V30" s="334"/>
      <c r="W30" s="335"/>
    </row>
    <row r="31" spans="1:23" ht="63">
      <c r="A31" s="475"/>
      <c r="B31" s="476"/>
      <c r="C31" s="476" t="s">
        <v>1189</v>
      </c>
      <c r="D31" s="478" t="s">
        <v>1189</v>
      </c>
      <c r="E31" s="762" t="s">
        <v>1190</v>
      </c>
      <c r="F31" s="477" t="s">
        <v>1311</v>
      </c>
      <c r="G31" s="334">
        <v>3</v>
      </c>
      <c r="H31" s="1450">
        <v>7350</v>
      </c>
      <c r="I31" s="1450"/>
      <c r="J31" s="1450">
        <v>27227</v>
      </c>
      <c r="K31" s="1450">
        <v>818</v>
      </c>
      <c r="L31" s="333">
        <f>G31*H31</f>
        <v>22050</v>
      </c>
      <c r="M31" s="333">
        <f>G31*I31</f>
        <v>0</v>
      </c>
      <c r="N31" s="333">
        <f>G31*J31</f>
        <v>81681</v>
      </c>
      <c r="O31" s="333">
        <f>G31*K31</f>
        <v>2454</v>
      </c>
      <c r="P31" s="333"/>
      <c r="Q31" s="334"/>
      <c r="R31" s="334"/>
      <c r="S31" s="334"/>
      <c r="T31" s="334"/>
      <c r="U31" s="334"/>
      <c r="V31" s="334"/>
      <c r="W31" s="335"/>
    </row>
    <row r="32" spans="1:23">
      <c r="A32" s="475"/>
      <c r="B32" s="476"/>
      <c r="C32" s="476"/>
      <c r="D32" s="1451" t="s">
        <v>9</v>
      </c>
      <c r="E32" s="762" t="s">
        <v>1191</v>
      </c>
      <c r="F32" s="477" t="s">
        <v>1192</v>
      </c>
      <c r="G32" s="334">
        <v>3</v>
      </c>
      <c r="H32" s="333">
        <v>6650000</v>
      </c>
      <c r="I32" s="333">
        <v>0</v>
      </c>
      <c r="J32" s="333">
        <v>0</v>
      </c>
      <c r="K32" s="333">
        <v>0</v>
      </c>
      <c r="L32" s="333">
        <f>G32*H32</f>
        <v>19950000</v>
      </c>
      <c r="M32" s="333">
        <f>G32*I32</f>
        <v>0</v>
      </c>
      <c r="N32" s="333">
        <f>G32*J32</f>
        <v>0</v>
      </c>
      <c r="O32" s="333">
        <f>G32*K32</f>
        <v>0</v>
      </c>
      <c r="P32" s="333"/>
      <c r="Q32" s="334"/>
      <c r="R32" s="334"/>
      <c r="S32" s="334"/>
      <c r="T32" s="334"/>
      <c r="U32" s="334"/>
      <c r="V32" s="334"/>
      <c r="W32" s="335"/>
    </row>
    <row r="33" spans="1:23">
      <c r="A33" s="475"/>
      <c r="B33" s="476"/>
      <c r="C33" s="476" t="s">
        <v>1193</v>
      </c>
      <c r="D33" s="478" t="s">
        <v>1193</v>
      </c>
      <c r="E33" s="762" t="s">
        <v>1194</v>
      </c>
      <c r="F33" s="477" t="s">
        <v>1309</v>
      </c>
      <c r="G33" s="334">
        <v>3</v>
      </c>
      <c r="H33" s="1450">
        <v>1238124</v>
      </c>
      <c r="I33" s="1450"/>
      <c r="J33" s="1450">
        <v>91314</v>
      </c>
      <c r="K33" s="1450">
        <v>4091</v>
      </c>
      <c r="L33" s="333">
        <f>G33*H33</f>
        <v>3714372</v>
      </c>
      <c r="M33" s="333">
        <f>G33*I33</f>
        <v>0</v>
      </c>
      <c r="N33" s="333">
        <f>G33*J33</f>
        <v>273942</v>
      </c>
      <c r="O33" s="333">
        <f>G33*K33</f>
        <v>12273</v>
      </c>
      <c r="P33" s="333"/>
      <c r="Q33" s="334"/>
      <c r="R33" s="334"/>
      <c r="S33" s="334"/>
      <c r="T33" s="334"/>
      <c r="U33" s="334"/>
      <c r="V33" s="334"/>
      <c r="W33" s="335"/>
    </row>
    <row r="34" spans="1:23" ht="31.5">
      <c r="A34" s="475"/>
      <c r="B34" s="476"/>
      <c r="C34" s="476" t="s">
        <v>1195</v>
      </c>
      <c r="D34" s="478" t="s">
        <v>1195</v>
      </c>
      <c r="E34" s="762" t="s">
        <v>1196</v>
      </c>
      <c r="F34" s="477" t="s">
        <v>1310</v>
      </c>
      <c r="G34" s="334">
        <v>2</v>
      </c>
      <c r="H34" s="1450">
        <v>17850</v>
      </c>
      <c r="I34" s="1450"/>
      <c r="J34" s="1450">
        <v>7959</v>
      </c>
      <c r="K34" s="1450"/>
      <c r="L34" s="333">
        <f>G34*H34</f>
        <v>35700</v>
      </c>
      <c r="M34" s="333">
        <f>G34*I34</f>
        <v>0</v>
      </c>
      <c r="N34" s="333">
        <f>G34*J34</f>
        <v>15918</v>
      </c>
      <c r="O34" s="333">
        <f>G34*K34</f>
        <v>0</v>
      </c>
      <c r="P34" s="333"/>
      <c r="Q34" s="334"/>
      <c r="R34" s="334"/>
      <c r="S34" s="334"/>
      <c r="T34" s="334"/>
      <c r="U34" s="334"/>
      <c r="V34" s="334"/>
      <c r="W34" s="335"/>
    </row>
    <row r="35" spans="1:23" ht="31.5">
      <c r="A35" s="475"/>
      <c r="B35" s="476"/>
      <c r="C35" s="476" t="s">
        <v>1197</v>
      </c>
      <c r="D35" s="478" t="s">
        <v>1197</v>
      </c>
      <c r="E35" s="762" t="s">
        <v>1198</v>
      </c>
      <c r="F35" s="477" t="s">
        <v>1310</v>
      </c>
      <c r="G35" s="334">
        <v>1</v>
      </c>
      <c r="H35" s="1450">
        <v>132600</v>
      </c>
      <c r="I35" s="1450"/>
      <c r="J35" s="1450">
        <v>15917</v>
      </c>
      <c r="K35" s="1450"/>
      <c r="L35" s="333">
        <f>G35*H35</f>
        <v>132600</v>
      </c>
      <c r="M35" s="333">
        <f>G35*I35</f>
        <v>0</v>
      </c>
      <c r="N35" s="333">
        <f>G35*J35</f>
        <v>15917</v>
      </c>
      <c r="O35" s="333">
        <f>G35*K35</f>
        <v>0</v>
      </c>
      <c r="P35" s="333"/>
      <c r="Q35" s="334"/>
      <c r="R35" s="334"/>
      <c r="S35" s="334"/>
      <c r="T35" s="334"/>
      <c r="U35" s="334"/>
      <c r="V35" s="334"/>
      <c r="W35" s="335"/>
    </row>
    <row r="36" spans="1:23" ht="31.5">
      <c r="A36" s="475"/>
      <c r="B36" s="476"/>
      <c r="C36" s="476" t="s">
        <v>1199</v>
      </c>
      <c r="D36" s="478" t="s">
        <v>1199</v>
      </c>
      <c r="E36" s="762" t="s">
        <v>1200</v>
      </c>
      <c r="F36" s="477" t="s">
        <v>1310</v>
      </c>
      <c r="G36" s="334">
        <v>2</v>
      </c>
      <c r="H36" s="1450">
        <v>61800</v>
      </c>
      <c r="I36" s="1450"/>
      <c r="J36" s="1450">
        <v>10472</v>
      </c>
      <c r="K36" s="1450"/>
      <c r="L36" s="333">
        <f>G36*H36</f>
        <v>123600</v>
      </c>
      <c r="M36" s="333">
        <f>G36*I36</f>
        <v>0</v>
      </c>
      <c r="N36" s="333">
        <f>G36*J36</f>
        <v>20944</v>
      </c>
      <c r="O36" s="333">
        <f>G36*K36</f>
        <v>0</v>
      </c>
      <c r="P36" s="333"/>
      <c r="Q36" s="334"/>
      <c r="R36" s="334"/>
      <c r="S36" s="334"/>
      <c r="T36" s="334"/>
      <c r="U36" s="334"/>
      <c r="V36" s="334"/>
      <c r="W36" s="335"/>
    </row>
    <row r="37" spans="1:23" ht="31.5">
      <c r="A37" s="475"/>
      <c r="B37" s="476"/>
      <c r="C37" s="476" t="s">
        <v>1195</v>
      </c>
      <c r="D37" s="478" t="s">
        <v>1195</v>
      </c>
      <c r="E37" s="762" t="s">
        <v>1201</v>
      </c>
      <c r="F37" s="477" t="s">
        <v>1310</v>
      </c>
      <c r="G37" s="334">
        <v>2</v>
      </c>
      <c r="H37" s="1450">
        <v>17850</v>
      </c>
      <c r="I37" s="1450"/>
      <c r="J37" s="1450">
        <v>7959</v>
      </c>
      <c r="K37" s="1450"/>
      <c r="L37" s="333">
        <f>G37*H37</f>
        <v>35700</v>
      </c>
      <c r="M37" s="333">
        <f>G37*I37</f>
        <v>0</v>
      </c>
      <c r="N37" s="333">
        <f>G37*J37</f>
        <v>15918</v>
      </c>
      <c r="O37" s="333">
        <f>G37*K37</f>
        <v>0</v>
      </c>
      <c r="P37" s="333"/>
      <c r="Q37" s="334"/>
      <c r="R37" s="334"/>
      <c r="S37" s="334"/>
      <c r="T37" s="334"/>
      <c r="U37" s="334"/>
      <c r="V37" s="334"/>
      <c r="W37" s="335"/>
    </row>
    <row r="38" spans="1:23" ht="31.5">
      <c r="A38" s="475"/>
      <c r="B38" s="476"/>
      <c r="C38" s="476" t="s">
        <v>1195</v>
      </c>
      <c r="D38" s="478" t="s">
        <v>1195</v>
      </c>
      <c r="E38" s="762" t="s">
        <v>1202</v>
      </c>
      <c r="F38" s="477" t="s">
        <v>1310</v>
      </c>
      <c r="G38" s="334">
        <v>8</v>
      </c>
      <c r="H38" s="1450">
        <v>17850</v>
      </c>
      <c r="I38" s="1450"/>
      <c r="J38" s="1450">
        <v>7959</v>
      </c>
      <c r="K38" s="1450"/>
      <c r="L38" s="333">
        <f>G38*H38</f>
        <v>142800</v>
      </c>
      <c r="M38" s="333">
        <f>G38*I38</f>
        <v>0</v>
      </c>
      <c r="N38" s="333">
        <f>G38*J38</f>
        <v>63672</v>
      </c>
      <c r="O38" s="333">
        <f>G38*K38</f>
        <v>0</v>
      </c>
      <c r="P38" s="333"/>
      <c r="Q38" s="334"/>
      <c r="R38" s="334"/>
      <c r="S38" s="334"/>
      <c r="T38" s="334"/>
      <c r="U38" s="334"/>
      <c r="V38" s="334"/>
      <c r="W38" s="335"/>
    </row>
    <row r="39" spans="1:23" ht="31.5">
      <c r="A39" s="475"/>
      <c r="B39" s="476"/>
      <c r="C39" s="476" t="s">
        <v>1195</v>
      </c>
      <c r="D39" s="478" t="s">
        <v>1195</v>
      </c>
      <c r="E39" s="762" t="s">
        <v>1203</v>
      </c>
      <c r="F39" s="477" t="s">
        <v>1310</v>
      </c>
      <c r="G39" s="334">
        <v>4</v>
      </c>
      <c r="H39" s="1450">
        <v>17850</v>
      </c>
      <c r="I39" s="1450"/>
      <c r="J39" s="1450">
        <v>7959</v>
      </c>
      <c r="K39" s="1450"/>
      <c r="L39" s="333">
        <f>G39*H39</f>
        <v>71400</v>
      </c>
      <c r="M39" s="333">
        <f>G39*I39</f>
        <v>0</v>
      </c>
      <c r="N39" s="333">
        <f>G39*J39</f>
        <v>31836</v>
      </c>
      <c r="O39" s="333">
        <f>G39*K39</f>
        <v>0</v>
      </c>
      <c r="P39" s="333"/>
      <c r="Q39" s="334"/>
      <c r="R39" s="334"/>
      <c r="S39" s="334"/>
      <c r="T39" s="334"/>
      <c r="U39" s="334"/>
      <c r="V39" s="334"/>
      <c r="W39" s="335"/>
    </row>
    <row r="40" spans="1:23" ht="31.5">
      <c r="A40" s="475"/>
      <c r="B40" s="476"/>
      <c r="C40" s="476" t="s">
        <v>1204</v>
      </c>
      <c r="D40" s="478" t="s">
        <v>1204</v>
      </c>
      <c r="E40" s="762" t="s">
        <v>1205</v>
      </c>
      <c r="F40" s="477" t="s">
        <v>1206</v>
      </c>
      <c r="G40" s="334">
        <v>20</v>
      </c>
      <c r="H40" s="1450">
        <v>21852</v>
      </c>
      <c r="I40" s="1450"/>
      <c r="J40" s="1450">
        <v>2178</v>
      </c>
      <c r="K40" s="1450"/>
      <c r="L40" s="333">
        <f>G40*H40</f>
        <v>437040</v>
      </c>
      <c r="M40" s="333">
        <f>G40*I40</f>
        <v>0</v>
      </c>
      <c r="N40" s="333">
        <f>G40*J40</f>
        <v>43560</v>
      </c>
      <c r="O40" s="333">
        <f>G40*K40</f>
        <v>0</v>
      </c>
      <c r="P40" s="333"/>
      <c r="Q40" s="334"/>
      <c r="R40" s="334"/>
      <c r="S40" s="334"/>
      <c r="T40" s="334"/>
      <c r="U40" s="334"/>
      <c r="V40" s="334"/>
      <c r="W40" s="335"/>
    </row>
    <row r="41" spans="1:23" ht="31.5">
      <c r="A41" s="475"/>
      <c r="B41" s="476"/>
      <c r="C41" s="476" t="s">
        <v>1207</v>
      </c>
      <c r="D41" s="478" t="s">
        <v>1207</v>
      </c>
      <c r="E41" s="762" t="s">
        <v>1208</v>
      </c>
      <c r="F41" s="477" t="s">
        <v>1206</v>
      </c>
      <c r="G41" s="334">
        <v>7</v>
      </c>
      <c r="H41" s="1450">
        <v>15812</v>
      </c>
      <c r="I41" s="1450"/>
      <c r="J41" s="1450">
        <v>1885</v>
      </c>
      <c r="K41" s="1450"/>
      <c r="L41" s="333">
        <f>G41*H41</f>
        <v>110684</v>
      </c>
      <c r="M41" s="333">
        <f>G41*I41</f>
        <v>0</v>
      </c>
      <c r="N41" s="333">
        <f>G41*J41</f>
        <v>13195</v>
      </c>
      <c r="O41" s="333">
        <f>G41*K41</f>
        <v>0</v>
      </c>
      <c r="P41" s="333"/>
      <c r="Q41" s="334"/>
      <c r="R41" s="334"/>
      <c r="S41" s="334"/>
      <c r="T41" s="334"/>
      <c r="U41" s="334"/>
      <c r="V41" s="334"/>
      <c r="W41" s="335"/>
    </row>
    <row r="42" spans="1:23" ht="31.5">
      <c r="A42" s="475"/>
      <c r="B42" s="476"/>
      <c r="C42" s="476" t="s">
        <v>1209</v>
      </c>
      <c r="D42" s="478" t="s">
        <v>1209</v>
      </c>
      <c r="E42" s="762" t="s">
        <v>1210</v>
      </c>
      <c r="F42" s="477" t="s">
        <v>1206</v>
      </c>
      <c r="G42" s="334">
        <v>15</v>
      </c>
      <c r="H42" s="1450">
        <v>5673</v>
      </c>
      <c r="I42" s="1450"/>
      <c r="J42" s="1450">
        <v>1508</v>
      </c>
      <c r="K42" s="1450"/>
      <c r="L42" s="333">
        <f>G42*H42</f>
        <v>85095</v>
      </c>
      <c r="M42" s="333">
        <f>G42*I42</f>
        <v>0</v>
      </c>
      <c r="N42" s="333">
        <f>G42*J42</f>
        <v>22620</v>
      </c>
      <c r="O42" s="333">
        <f>G42*K42</f>
        <v>0</v>
      </c>
      <c r="P42" s="333"/>
      <c r="Q42" s="334"/>
      <c r="R42" s="334"/>
      <c r="S42" s="334"/>
      <c r="T42" s="334"/>
      <c r="U42" s="334"/>
      <c r="V42" s="334"/>
      <c r="W42" s="335"/>
    </row>
    <row r="43" spans="1:23" ht="31.5">
      <c r="A43" s="475"/>
      <c r="B43" s="476"/>
      <c r="C43" s="476" t="s">
        <v>1211</v>
      </c>
      <c r="D43" s="478" t="s">
        <v>1211</v>
      </c>
      <c r="E43" s="762" t="s">
        <v>1212</v>
      </c>
      <c r="F43" s="477" t="s">
        <v>1206</v>
      </c>
      <c r="G43" s="334">
        <v>235</v>
      </c>
      <c r="H43" s="1450">
        <v>3887</v>
      </c>
      <c r="I43" s="1450"/>
      <c r="J43" s="1450">
        <v>1466</v>
      </c>
      <c r="K43" s="1450"/>
      <c r="L43" s="333">
        <f>G43*H43</f>
        <v>913445</v>
      </c>
      <c r="M43" s="333">
        <f>G43*I43</f>
        <v>0</v>
      </c>
      <c r="N43" s="333">
        <f>G43*J43</f>
        <v>344510</v>
      </c>
      <c r="O43" s="333">
        <f>G43*K43</f>
        <v>0</v>
      </c>
      <c r="P43" s="333"/>
      <c r="Q43" s="334"/>
      <c r="R43" s="334"/>
      <c r="S43" s="334"/>
      <c r="T43" s="334"/>
      <c r="U43" s="334"/>
      <c r="V43" s="334"/>
      <c r="W43" s="335"/>
    </row>
    <row r="44" spans="1:23" ht="31.5">
      <c r="A44" s="475"/>
      <c r="B44" s="476"/>
      <c r="C44" s="476" t="s">
        <v>1213</v>
      </c>
      <c r="D44" s="478" t="s">
        <v>1213</v>
      </c>
      <c r="E44" s="762" t="s">
        <v>1214</v>
      </c>
      <c r="F44" s="477" t="s">
        <v>1206</v>
      </c>
      <c r="G44" s="334">
        <v>441</v>
      </c>
      <c r="H44" s="1450">
        <v>2763</v>
      </c>
      <c r="I44" s="1450"/>
      <c r="J44" s="1450">
        <v>1340</v>
      </c>
      <c r="K44" s="1450"/>
      <c r="L44" s="333">
        <f>G44*H44</f>
        <v>1218483</v>
      </c>
      <c r="M44" s="333">
        <f>G44*I44</f>
        <v>0</v>
      </c>
      <c r="N44" s="333">
        <f>G44*J44</f>
        <v>590940</v>
      </c>
      <c r="O44" s="333">
        <f>G44*K44</f>
        <v>0</v>
      </c>
      <c r="P44" s="333"/>
      <c r="Q44" s="334"/>
      <c r="R44" s="334"/>
      <c r="S44" s="334"/>
      <c r="T44" s="334"/>
      <c r="U44" s="334"/>
      <c r="V44" s="334"/>
      <c r="W44" s="335"/>
    </row>
    <row r="45" spans="1:23">
      <c r="A45" s="475"/>
      <c r="B45" s="476"/>
      <c r="C45" s="476" t="s">
        <v>1215</v>
      </c>
      <c r="D45" s="478" t="s">
        <v>1215</v>
      </c>
      <c r="E45" s="762" t="s">
        <v>1216</v>
      </c>
      <c r="F45" s="477" t="s">
        <v>1206</v>
      </c>
      <c r="G45" s="334">
        <v>5</v>
      </c>
      <c r="H45" s="1450">
        <v>6482</v>
      </c>
      <c r="I45" s="1450"/>
      <c r="J45" s="1450">
        <v>1592</v>
      </c>
      <c r="K45" s="1450"/>
      <c r="L45" s="333">
        <f>G45*H45</f>
        <v>32410</v>
      </c>
      <c r="M45" s="333">
        <f>G45*I45</f>
        <v>0</v>
      </c>
      <c r="N45" s="333">
        <f>G45*J45</f>
        <v>7960</v>
      </c>
      <c r="O45" s="333">
        <f>G45*K45</f>
        <v>0</v>
      </c>
      <c r="P45" s="333"/>
      <c r="Q45" s="334"/>
      <c r="R45" s="334"/>
      <c r="S45" s="334"/>
      <c r="T45" s="334"/>
      <c r="U45" s="334"/>
      <c r="V45" s="334"/>
      <c r="W45" s="335"/>
    </row>
    <row r="46" spans="1:23">
      <c r="A46" s="475"/>
      <c r="B46" s="476"/>
      <c r="C46" s="476" t="s">
        <v>1217</v>
      </c>
      <c r="D46" s="478" t="s">
        <v>1217</v>
      </c>
      <c r="E46" s="762" t="s">
        <v>1218</v>
      </c>
      <c r="F46" s="477" t="s">
        <v>1206</v>
      </c>
      <c r="G46" s="334">
        <v>15</v>
      </c>
      <c r="H46" s="1450">
        <v>2679</v>
      </c>
      <c r="I46" s="1450"/>
      <c r="J46" s="1450">
        <v>1466</v>
      </c>
      <c r="K46" s="1450"/>
      <c r="L46" s="333">
        <f>G46*H46</f>
        <v>40185</v>
      </c>
      <c r="M46" s="333">
        <f>G46*I46</f>
        <v>0</v>
      </c>
      <c r="N46" s="333">
        <f>G46*J46</f>
        <v>21990</v>
      </c>
      <c r="O46" s="333">
        <f>G46*K46</f>
        <v>0</v>
      </c>
      <c r="P46" s="333"/>
      <c r="Q46" s="334"/>
      <c r="R46" s="334"/>
      <c r="S46" s="334"/>
      <c r="T46" s="334"/>
      <c r="U46" s="334"/>
      <c r="V46" s="334"/>
      <c r="W46" s="335"/>
    </row>
    <row r="47" spans="1:23">
      <c r="A47" s="475"/>
      <c r="B47" s="476"/>
      <c r="C47" s="476" t="s">
        <v>1219</v>
      </c>
      <c r="D47" s="478" t="s">
        <v>1219</v>
      </c>
      <c r="E47" s="762" t="s">
        <v>1220</v>
      </c>
      <c r="F47" s="477" t="s">
        <v>1206</v>
      </c>
      <c r="G47" s="334">
        <v>110</v>
      </c>
      <c r="H47" s="1450">
        <v>1303</v>
      </c>
      <c r="I47" s="1450"/>
      <c r="J47" s="1450">
        <v>1257</v>
      </c>
      <c r="K47" s="1450"/>
      <c r="L47" s="333">
        <f>G47*H47</f>
        <v>143330</v>
      </c>
      <c r="M47" s="333">
        <f>G47*I47</f>
        <v>0</v>
      </c>
      <c r="N47" s="333">
        <f>G47*J47</f>
        <v>138270</v>
      </c>
      <c r="O47" s="333">
        <f>G47*K47</f>
        <v>0</v>
      </c>
      <c r="P47" s="333"/>
      <c r="Q47" s="334"/>
      <c r="R47" s="334"/>
      <c r="S47" s="334"/>
      <c r="T47" s="334"/>
      <c r="U47" s="334"/>
      <c r="V47" s="334"/>
      <c r="W47" s="335"/>
    </row>
    <row r="48" spans="1:23" ht="31.5">
      <c r="A48" s="475"/>
      <c r="B48" s="476"/>
      <c r="C48" s="476" t="s">
        <v>1221</v>
      </c>
      <c r="D48" s="478" t="s">
        <v>1221</v>
      </c>
      <c r="E48" s="762" t="s">
        <v>1222</v>
      </c>
      <c r="F48" s="477" t="s">
        <v>1206</v>
      </c>
      <c r="G48" s="334">
        <v>400</v>
      </c>
      <c r="H48" s="1450">
        <v>1071</v>
      </c>
      <c r="I48" s="1450"/>
      <c r="J48" s="1450">
        <v>2094</v>
      </c>
      <c r="K48" s="1450">
        <v>409</v>
      </c>
      <c r="L48" s="333">
        <f>G48*H48</f>
        <v>428400</v>
      </c>
      <c r="M48" s="333">
        <f>G48*I48</f>
        <v>0</v>
      </c>
      <c r="N48" s="333">
        <f>G48*J48</f>
        <v>837600</v>
      </c>
      <c r="O48" s="333">
        <f>G48*K48</f>
        <v>163600</v>
      </c>
      <c r="P48" s="333"/>
      <c r="Q48" s="334"/>
      <c r="R48" s="334"/>
      <c r="S48" s="334"/>
      <c r="T48" s="334"/>
      <c r="U48" s="334"/>
      <c r="V48" s="334"/>
      <c r="W48" s="335"/>
    </row>
    <row r="49" spans="1:23" ht="31.5">
      <c r="A49" s="475"/>
      <c r="B49" s="476"/>
      <c r="C49" s="476" t="s">
        <v>1223</v>
      </c>
      <c r="D49" s="478" t="s">
        <v>1223</v>
      </c>
      <c r="E49" s="762" t="s">
        <v>1224</v>
      </c>
      <c r="F49" s="477" t="s">
        <v>1206</v>
      </c>
      <c r="G49" s="334">
        <v>220</v>
      </c>
      <c r="H49" s="1450">
        <v>1607</v>
      </c>
      <c r="I49" s="1450"/>
      <c r="J49" s="1450">
        <v>2513</v>
      </c>
      <c r="K49" s="1450">
        <v>409</v>
      </c>
      <c r="L49" s="333">
        <f>G49*H49</f>
        <v>353540</v>
      </c>
      <c r="M49" s="333">
        <f>G49*I49</f>
        <v>0</v>
      </c>
      <c r="N49" s="333">
        <f>G49*J49</f>
        <v>552860</v>
      </c>
      <c r="O49" s="333">
        <f>G49*K49</f>
        <v>89980</v>
      </c>
      <c r="P49" s="333"/>
      <c r="Q49" s="334"/>
      <c r="R49" s="334"/>
      <c r="S49" s="334"/>
      <c r="T49" s="334"/>
      <c r="U49" s="334"/>
      <c r="V49" s="334"/>
      <c r="W49" s="335"/>
    </row>
    <row r="50" spans="1:23" ht="31.5">
      <c r="A50" s="475"/>
      <c r="B50" s="476"/>
      <c r="C50" s="476" t="s">
        <v>1225</v>
      </c>
      <c r="D50" s="478" t="s">
        <v>1225</v>
      </c>
      <c r="E50" s="762" t="s">
        <v>1226</v>
      </c>
      <c r="F50" s="477" t="s">
        <v>1206</v>
      </c>
      <c r="G50" s="334">
        <v>20</v>
      </c>
      <c r="H50" s="1450">
        <v>2142</v>
      </c>
      <c r="I50" s="1450"/>
      <c r="J50" s="1450">
        <v>2597</v>
      </c>
      <c r="K50" s="1450">
        <v>491</v>
      </c>
      <c r="L50" s="333">
        <f>G50*H50</f>
        <v>42840</v>
      </c>
      <c r="M50" s="333">
        <f>G50*I50</f>
        <v>0</v>
      </c>
      <c r="N50" s="333">
        <f>G50*J50</f>
        <v>51940</v>
      </c>
      <c r="O50" s="333">
        <f>G50*K50</f>
        <v>9820</v>
      </c>
      <c r="P50" s="333"/>
      <c r="Q50" s="334"/>
      <c r="R50" s="334"/>
      <c r="S50" s="334"/>
      <c r="T50" s="334"/>
      <c r="U50" s="334"/>
      <c r="V50" s="334"/>
      <c r="W50" s="335"/>
    </row>
    <row r="51" spans="1:23" ht="31.5">
      <c r="A51" s="475"/>
      <c r="B51" s="476"/>
      <c r="C51" s="476" t="s">
        <v>1225</v>
      </c>
      <c r="D51" s="478" t="s">
        <v>1225</v>
      </c>
      <c r="E51" s="762" t="s">
        <v>1227</v>
      </c>
      <c r="F51" s="477" t="s">
        <v>1206</v>
      </c>
      <c r="G51" s="334">
        <v>16</v>
      </c>
      <c r="H51" s="1450">
        <v>2142</v>
      </c>
      <c r="I51" s="1450"/>
      <c r="J51" s="1450">
        <v>2597</v>
      </c>
      <c r="K51" s="1450">
        <v>491</v>
      </c>
      <c r="L51" s="333">
        <f>G51*H51</f>
        <v>34272</v>
      </c>
      <c r="M51" s="333">
        <f>G51*I51</f>
        <v>0</v>
      </c>
      <c r="N51" s="333">
        <f>G51*J51</f>
        <v>41552</v>
      </c>
      <c r="O51" s="333">
        <f>G51*K51</f>
        <v>7856</v>
      </c>
      <c r="P51" s="333"/>
      <c r="Q51" s="334"/>
      <c r="R51" s="334"/>
      <c r="S51" s="334"/>
      <c r="T51" s="334"/>
      <c r="U51" s="334"/>
      <c r="V51" s="334"/>
      <c r="W51" s="335"/>
    </row>
    <row r="52" spans="1:23" ht="63">
      <c r="A52" s="475"/>
      <c r="B52" s="476"/>
      <c r="C52" s="476" t="s">
        <v>1228</v>
      </c>
      <c r="D52" s="478" t="s">
        <v>1228</v>
      </c>
      <c r="E52" s="762" t="s">
        <v>1229</v>
      </c>
      <c r="F52" s="477" t="s">
        <v>1311</v>
      </c>
      <c r="G52" s="334">
        <v>5</v>
      </c>
      <c r="H52" s="1450">
        <v>2100</v>
      </c>
      <c r="I52" s="1450"/>
      <c r="J52" s="1450">
        <v>17593</v>
      </c>
      <c r="K52" s="1450">
        <v>818</v>
      </c>
      <c r="L52" s="333">
        <f>G52*H52</f>
        <v>10500</v>
      </c>
      <c r="M52" s="333">
        <f>G52*I52</f>
        <v>0</v>
      </c>
      <c r="N52" s="333">
        <f>G52*J52</f>
        <v>87965</v>
      </c>
      <c r="O52" s="333">
        <f>G52*K52</f>
        <v>4090</v>
      </c>
      <c r="P52" s="333"/>
      <c r="Q52" s="334"/>
      <c r="R52" s="334"/>
      <c r="S52" s="334"/>
      <c r="T52" s="334"/>
      <c r="U52" s="334"/>
      <c r="V52" s="334"/>
      <c r="W52" s="335"/>
    </row>
    <row r="53" spans="1:23" ht="31.5">
      <c r="A53" s="475"/>
      <c r="B53" s="476"/>
      <c r="C53" s="476" t="s">
        <v>1230</v>
      </c>
      <c r="D53" s="478" t="s">
        <v>1230</v>
      </c>
      <c r="E53" s="762" t="s">
        <v>1231</v>
      </c>
      <c r="F53" s="477" t="s">
        <v>1312</v>
      </c>
      <c r="G53" s="334">
        <v>4</v>
      </c>
      <c r="H53" s="1450">
        <v>26250</v>
      </c>
      <c r="I53" s="1450"/>
      <c r="J53" s="1450">
        <v>26389</v>
      </c>
      <c r="K53" s="1450"/>
      <c r="L53" s="333">
        <f>G53*H53</f>
        <v>105000</v>
      </c>
      <c r="M53" s="333">
        <f>G53*I53</f>
        <v>0</v>
      </c>
      <c r="N53" s="333">
        <f>G53*J53</f>
        <v>105556</v>
      </c>
      <c r="O53" s="333">
        <f>G53*K53</f>
        <v>0</v>
      </c>
      <c r="P53" s="333"/>
      <c r="Q53" s="334"/>
      <c r="R53" s="334"/>
      <c r="S53" s="334"/>
      <c r="T53" s="334"/>
      <c r="U53" s="334"/>
      <c r="V53" s="334"/>
      <c r="W53" s="335"/>
    </row>
    <row r="54" spans="1:23">
      <c r="A54" s="475"/>
      <c r="B54" s="476"/>
      <c r="C54" s="476"/>
      <c r="D54" s="1451" t="s">
        <v>9</v>
      </c>
      <c r="E54" s="762" t="s">
        <v>1232</v>
      </c>
      <c r="F54" s="477" t="s">
        <v>1233</v>
      </c>
      <c r="G54" s="334">
        <v>57.2</v>
      </c>
      <c r="H54" s="333">
        <v>9000</v>
      </c>
      <c r="I54" s="333">
        <v>0</v>
      </c>
      <c r="J54" s="333">
        <v>0</v>
      </c>
      <c r="K54" s="333">
        <v>0</v>
      </c>
      <c r="L54" s="333">
        <f>G54*H54</f>
        <v>514800</v>
      </c>
      <c r="M54" s="333">
        <f>G54*I54</f>
        <v>0</v>
      </c>
      <c r="N54" s="333">
        <f>G54*J54</f>
        <v>0</v>
      </c>
      <c r="O54" s="333">
        <f>G54*K54</f>
        <v>0</v>
      </c>
      <c r="P54" s="333"/>
      <c r="Q54" s="334"/>
      <c r="R54" s="334"/>
      <c r="S54" s="334"/>
      <c r="T54" s="334"/>
      <c r="U54" s="334"/>
      <c r="V54" s="334"/>
      <c r="W54" s="335"/>
    </row>
    <row r="55" spans="1:23" ht="31.5">
      <c r="A55" s="475"/>
      <c r="B55" s="476"/>
      <c r="C55" s="476" t="s">
        <v>1234</v>
      </c>
      <c r="D55" s="478" t="s">
        <v>1234</v>
      </c>
      <c r="E55" s="762" t="s">
        <v>1235</v>
      </c>
      <c r="F55" s="477" t="s">
        <v>1310</v>
      </c>
      <c r="G55" s="334">
        <v>4</v>
      </c>
      <c r="H55" s="1450">
        <v>34430</v>
      </c>
      <c r="I55" s="1450"/>
      <c r="J55" s="1450">
        <v>41049</v>
      </c>
      <c r="K55" s="1450">
        <v>14907</v>
      </c>
      <c r="L55" s="333">
        <f>G55*H55</f>
        <v>137720</v>
      </c>
      <c r="M55" s="333">
        <f>G55*I55</f>
        <v>0</v>
      </c>
      <c r="N55" s="333">
        <f>G55*J55</f>
        <v>164196</v>
      </c>
      <c r="O55" s="333">
        <f>G55*K55</f>
        <v>59628</v>
      </c>
      <c r="P55" s="333"/>
      <c r="Q55" s="334"/>
      <c r="R55" s="334"/>
      <c r="S55" s="334"/>
      <c r="T55" s="334"/>
      <c r="U55" s="334"/>
      <c r="V55" s="334"/>
      <c r="W55" s="335"/>
    </row>
    <row r="56" spans="1:23" ht="31.5">
      <c r="A56" s="475"/>
      <c r="B56" s="476"/>
      <c r="C56" s="476" t="s">
        <v>1236</v>
      </c>
      <c r="D56" s="478" t="s">
        <v>1236</v>
      </c>
      <c r="E56" s="762" t="s">
        <v>1237</v>
      </c>
      <c r="F56" s="477" t="s">
        <v>1310</v>
      </c>
      <c r="G56" s="334">
        <v>4</v>
      </c>
      <c r="H56" s="1450">
        <v>25823</v>
      </c>
      <c r="I56" s="1450"/>
      <c r="J56" s="1450">
        <v>12566</v>
      </c>
      <c r="K56" s="1450">
        <v>2120</v>
      </c>
      <c r="L56" s="333">
        <f>G56*H56</f>
        <v>103292</v>
      </c>
      <c r="M56" s="333">
        <f>G56*I56</f>
        <v>0</v>
      </c>
      <c r="N56" s="333">
        <f>G56*J56</f>
        <v>50264</v>
      </c>
      <c r="O56" s="333">
        <f>G56*K56</f>
        <v>8480</v>
      </c>
      <c r="P56" s="333"/>
      <c r="Q56" s="334"/>
      <c r="R56" s="334"/>
      <c r="S56" s="334"/>
      <c r="T56" s="334"/>
      <c r="U56" s="334"/>
      <c r="V56" s="334"/>
      <c r="W56" s="335"/>
    </row>
    <row r="57" spans="1:23">
      <c r="A57" s="475"/>
      <c r="B57" s="476"/>
      <c r="C57" s="476"/>
      <c r="D57" s="1451" t="s">
        <v>9</v>
      </c>
      <c r="E57" s="762" t="s">
        <v>1238</v>
      </c>
      <c r="F57" s="477" t="s">
        <v>1153</v>
      </c>
      <c r="G57" s="334">
        <v>58</v>
      </c>
      <c r="H57" s="333">
        <v>1000</v>
      </c>
      <c r="I57" s="333">
        <v>0</v>
      </c>
      <c r="J57" s="333">
        <v>0</v>
      </c>
      <c r="K57" s="333">
        <v>0</v>
      </c>
      <c r="L57" s="333">
        <f>G57*H57</f>
        <v>58000</v>
      </c>
      <c r="M57" s="333">
        <f>G57*I57</f>
        <v>0</v>
      </c>
      <c r="N57" s="333">
        <f>G57*J57</f>
        <v>0</v>
      </c>
      <c r="O57" s="333">
        <f>G57*K57</f>
        <v>0</v>
      </c>
      <c r="P57" s="333"/>
      <c r="Q57" s="334"/>
      <c r="R57" s="334"/>
      <c r="S57" s="334"/>
      <c r="T57" s="334"/>
      <c r="U57" s="334"/>
      <c r="V57" s="334"/>
      <c r="W57" s="335"/>
    </row>
    <row r="58" spans="1:23">
      <c r="A58" s="475"/>
      <c r="B58" s="476"/>
      <c r="C58" s="476"/>
      <c r="D58" s="1451" t="s">
        <v>9</v>
      </c>
      <c r="E58" s="762" t="s">
        <v>1239</v>
      </c>
      <c r="F58" s="477" t="s">
        <v>1206</v>
      </c>
      <c r="G58" s="334">
        <v>11</v>
      </c>
      <c r="H58" s="333">
        <v>6160</v>
      </c>
      <c r="I58" s="333">
        <v>0</v>
      </c>
      <c r="J58" s="333">
        <v>0</v>
      </c>
      <c r="K58" s="333">
        <v>0</v>
      </c>
      <c r="L58" s="333">
        <f>G58*H58</f>
        <v>67760</v>
      </c>
      <c r="M58" s="333">
        <f>G58*I58</f>
        <v>0</v>
      </c>
      <c r="N58" s="333">
        <f>G58*J58</f>
        <v>0</v>
      </c>
      <c r="O58" s="333">
        <f>G58*K58</f>
        <v>0</v>
      </c>
      <c r="P58" s="333"/>
      <c r="Q58" s="334"/>
      <c r="R58" s="334"/>
      <c r="S58" s="334"/>
      <c r="T58" s="334"/>
      <c r="U58" s="334"/>
      <c r="V58" s="334"/>
      <c r="W58" s="335"/>
    </row>
    <row r="59" spans="1:23">
      <c r="A59" s="475"/>
      <c r="B59" s="476"/>
      <c r="C59" s="476"/>
      <c r="D59" s="474"/>
      <c r="E59" s="1460" t="s">
        <v>1240</v>
      </c>
      <c r="F59" s="477"/>
      <c r="G59" s="1452"/>
      <c r="H59" s="333"/>
      <c r="I59" s="333"/>
      <c r="J59" s="333"/>
      <c r="K59" s="333"/>
      <c r="L59" s="333"/>
      <c r="M59" s="333"/>
      <c r="N59" s="333"/>
      <c r="O59" s="333"/>
      <c r="P59" s="333"/>
      <c r="Q59" s="334"/>
      <c r="R59" s="334"/>
      <c r="S59" s="334"/>
      <c r="T59" s="334"/>
      <c r="U59" s="334"/>
      <c r="V59" s="334"/>
      <c r="W59" s="335"/>
    </row>
    <row r="60" spans="1:23" ht="47.25">
      <c r="A60" s="475"/>
      <c r="B60" s="476"/>
      <c r="C60" s="476" t="s">
        <v>1241</v>
      </c>
      <c r="D60" s="478" t="s">
        <v>1241</v>
      </c>
      <c r="E60" s="762" t="s">
        <v>1242</v>
      </c>
      <c r="F60" s="477" t="s">
        <v>1243</v>
      </c>
      <c r="G60" s="334">
        <v>0.46</v>
      </c>
      <c r="H60" s="1450">
        <v>2466809</v>
      </c>
      <c r="I60" s="1450"/>
      <c r="J60" s="1450">
        <v>1071051</v>
      </c>
      <c r="K60" s="1450"/>
      <c r="L60" s="333">
        <f>G60*H60</f>
        <v>1134732.1400000001</v>
      </c>
      <c r="M60" s="333">
        <f>G60*I60</f>
        <v>0</v>
      </c>
      <c r="N60" s="333">
        <f>G60*J60</f>
        <v>492683.46</v>
      </c>
      <c r="O60" s="333">
        <f>G60*K60</f>
        <v>0</v>
      </c>
      <c r="P60" s="333"/>
      <c r="Q60" s="334"/>
      <c r="R60" s="334"/>
      <c r="S60" s="334"/>
      <c r="T60" s="334"/>
      <c r="U60" s="334"/>
      <c r="V60" s="334"/>
      <c r="W60" s="335"/>
    </row>
    <row r="61" spans="1:23" ht="47.25">
      <c r="A61" s="475"/>
      <c r="B61" s="476"/>
      <c r="C61" s="476" t="s">
        <v>1244</v>
      </c>
      <c r="D61" s="478" t="s">
        <v>1244</v>
      </c>
      <c r="E61" s="762" t="s">
        <v>1245</v>
      </c>
      <c r="F61" s="477" t="s">
        <v>1243</v>
      </c>
      <c r="G61" s="334">
        <v>0.32</v>
      </c>
      <c r="H61" s="1450">
        <v>1778245</v>
      </c>
      <c r="I61" s="1450"/>
      <c r="J61" s="1450">
        <v>911461</v>
      </c>
      <c r="K61" s="1450"/>
      <c r="L61" s="333">
        <f>G61*H61</f>
        <v>569038.4</v>
      </c>
      <c r="M61" s="333">
        <f>G61*I61</f>
        <v>0</v>
      </c>
      <c r="N61" s="333">
        <f>G61*J61</f>
        <v>291667.52</v>
      </c>
      <c r="O61" s="333">
        <f>G61*K61</f>
        <v>0</v>
      </c>
      <c r="P61" s="333"/>
      <c r="Q61" s="334"/>
      <c r="R61" s="334"/>
      <c r="S61" s="334"/>
      <c r="T61" s="334"/>
      <c r="U61" s="334"/>
      <c r="V61" s="334"/>
      <c r="W61" s="335"/>
    </row>
    <row r="62" spans="1:23" ht="63">
      <c r="A62" s="475"/>
      <c r="B62" s="476"/>
      <c r="C62" s="476" t="s">
        <v>1246</v>
      </c>
      <c r="D62" s="478" t="s">
        <v>1246</v>
      </c>
      <c r="E62" s="762" t="s">
        <v>1247</v>
      </c>
      <c r="F62" s="477" t="s">
        <v>1243</v>
      </c>
      <c r="G62" s="334">
        <v>0.4</v>
      </c>
      <c r="H62" s="1450">
        <v>1712271</v>
      </c>
      <c r="I62" s="1450"/>
      <c r="J62" s="1450">
        <v>977224</v>
      </c>
      <c r="K62" s="1450">
        <v>6591</v>
      </c>
      <c r="L62" s="333">
        <f>G62*H62</f>
        <v>684908.4</v>
      </c>
      <c r="M62" s="333">
        <f>G62*I62</f>
        <v>0</v>
      </c>
      <c r="N62" s="333">
        <f>G62*J62</f>
        <v>390889.60000000003</v>
      </c>
      <c r="O62" s="333">
        <f>G62*K62</f>
        <v>2636.4</v>
      </c>
      <c r="P62" s="333"/>
      <c r="Q62" s="334"/>
      <c r="R62" s="334"/>
      <c r="S62" s="334"/>
      <c r="T62" s="334"/>
      <c r="U62" s="334"/>
      <c r="V62" s="334"/>
      <c r="W62" s="335"/>
    </row>
    <row r="63" spans="1:23" ht="63">
      <c r="A63" s="475"/>
      <c r="B63" s="476"/>
      <c r="C63" s="476" t="s">
        <v>1248</v>
      </c>
      <c r="D63" s="478" t="s">
        <v>1248</v>
      </c>
      <c r="E63" s="762" t="s">
        <v>1249</v>
      </c>
      <c r="F63" s="477" t="s">
        <v>1243</v>
      </c>
      <c r="G63" s="334">
        <v>0.35</v>
      </c>
      <c r="H63" s="1450">
        <v>1510351</v>
      </c>
      <c r="I63" s="1450"/>
      <c r="J63" s="1450">
        <v>733023</v>
      </c>
      <c r="K63" s="1450">
        <v>4394</v>
      </c>
      <c r="L63" s="333">
        <f>G63*H63</f>
        <v>528622.85</v>
      </c>
      <c r="M63" s="333">
        <f>G63*I63</f>
        <v>0</v>
      </c>
      <c r="N63" s="333">
        <f>G63*J63</f>
        <v>256558.05</v>
      </c>
      <c r="O63" s="333">
        <f>G63*K63</f>
        <v>1537.8999999999999</v>
      </c>
      <c r="P63" s="333"/>
      <c r="Q63" s="334"/>
      <c r="R63" s="334"/>
      <c r="S63" s="334"/>
      <c r="T63" s="334"/>
      <c r="U63" s="334"/>
      <c r="V63" s="334"/>
      <c r="W63" s="335"/>
    </row>
    <row r="64" spans="1:23" ht="47.25">
      <c r="A64" s="475"/>
      <c r="B64" s="476"/>
      <c r="C64" s="476" t="s">
        <v>1313</v>
      </c>
      <c r="D64" s="478" t="s">
        <v>1250</v>
      </c>
      <c r="E64" s="762" t="s">
        <v>1251</v>
      </c>
      <c r="F64" s="477" t="s">
        <v>1310</v>
      </c>
      <c r="G64" s="334">
        <v>10</v>
      </c>
      <c r="H64" s="1450">
        <v>10021</v>
      </c>
      <c r="I64" s="1450"/>
      <c r="J64" s="1450">
        <v>7121</v>
      </c>
      <c r="K64" s="1450">
        <v>3296</v>
      </c>
      <c r="L64" s="333">
        <f>G64*H64</f>
        <v>100210</v>
      </c>
      <c r="M64" s="333">
        <f>G64*I64</f>
        <v>0</v>
      </c>
      <c r="N64" s="333">
        <f>G64*J64</f>
        <v>71210</v>
      </c>
      <c r="O64" s="333">
        <f>G64*K64</f>
        <v>32960</v>
      </c>
      <c r="P64" s="333"/>
      <c r="Q64" s="334"/>
      <c r="R64" s="334"/>
      <c r="S64" s="334"/>
      <c r="T64" s="334"/>
      <c r="U64" s="334"/>
      <c r="V64" s="334"/>
      <c r="W64" s="335"/>
    </row>
    <row r="65" spans="1:23" ht="47.25">
      <c r="A65" s="475"/>
      <c r="B65" s="476"/>
      <c r="C65" s="476" t="s">
        <v>1314</v>
      </c>
      <c r="D65" s="478" t="s">
        <v>1252</v>
      </c>
      <c r="E65" s="762" t="s">
        <v>1253</v>
      </c>
      <c r="F65" s="477" t="s">
        <v>1310</v>
      </c>
      <c r="G65" s="334">
        <v>20</v>
      </c>
      <c r="H65" s="1450">
        <v>4390</v>
      </c>
      <c r="I65" s="1450"/>
      <c r="J65" s="1450">
        <v>6283</v>
      </c>
      <c r="K65" s="1450">
        <v>1977</v>
      </c>
      <c r="L65" s="333">
        <f>G65*H65</f>
        <v>87800</v>
      </c>
      <c r="M65" s="333">
        <f>G65*I65</f>
        <v>0</v>
      </c>
      <c r="N65" s="333">
        <f>G65*J65</f>
        <v>125660</v>
      </c>
      <c r="O65" s="333">
        <f>G65*K65</f>
        <v>39540</v>
      </c>
      <c r="P65" s="333"/>
      <c r="Q65" s="334"/>
      <c r="R65" s="334"/>
      <c r="S65" s="334"/>
      <c r="T65" s="334"/>
      <c r="U65" s="334"/>
      <c r="V65" s="334"/>
      <c r="W65" s="335"/>
    </row>
    <row r="66" spans="1:23" ht="47.25">
      <c r="A66" s="475"/>
      <c r="B66" s="476"/>
      <c r="C66" s="476" t="s">
        <v>1315</v>
      </c>
      <c r="D66" s="478" t="s">
        <v>1254</v>
      </c>
      <c r="E66" s="762" t="s">
        <v>1255</v>
      </c>
      <c r="F66" s="477" t="s">
        <v>1310</v>
      </c>
      <c r="G66" s="334">
        <v>32</v>
      </c>
      <c r="H66" s="1450">
        <v>3825</v>
      </c>
      <c r="I66" s="1450"/>
      <c r="J66" s="1450">
        <v>5026</v>
      </c>
      <c r="K66" s="1450">
        <v>1648</v>
      </c>
      <c r="L66" s="333">
        <f>G66*H66</f>
        <v>122400</v>
      </c>
      <c r="M66" s="333">
        <f>G66*I66</f>
        <v>0</v>
      </c>
      <c r="N66" s="333">
        <f>G66*J66</f>
        <v>160832</v>
      </c>
      <c r="O66" s="333">
        <f>G66*K66</f>
        <v>52736</v>
      </c>
      <c r="P66" s="333"/>
      <c r="Q66" s="334"/>
      <c r="R66" s="334"/>
      <c r="S66" s="334"/>
      <c r="T66" s="334"/>
      <c r="U66" s="334"/>
      <c r="V66" s="334"/>
      <c r="W66" s="335"/>
    </row>
    <row r="67" spans="1:23" ht="47.25">
      <c r="A67" s="475"/>
      <c r="B67" s="476"/>
      <c r="C67" s="476" t="s">
        <v>1316</v>
      </c>
      <c r="D67" s="478" t="s">
        <v>1256</v>
      </c>
      <c r="E67" s="762" t="s">
        <v>1257</v>
      </c>
      <c r="F67" s="477" t="s">
        <v>1310</v>
      </c>
      <c r="G67" s="334">
        <v>38</v>
      </c>
      <c r="H67" s="1450">
        <v>3260</v>
      </c>
      <c r="I67" s="1450"/>
      <c r="J67" s="1450">
        <v>3770</v>
      </c>
      <c r="K67" s="1450">
        <v>1318</v>
      </c>
      <c r="L67" s="333">
        <f>G67*H67</f>
        <v>123880</v>
      </c>
      <c r="M67" s="333">
        <f>G67*I67</f>
        <v>0</v>
      </c>
      <c r="N67" s="333">
        <f>G67*J67</f>
        <v>143260</v>
      </c>
      <c r="O67" s="333">
        <f>G67*K67</f>
        <v>50084</v>
      </c>
      <c r="P67" s="333"/>
      <c r="Q67" s="334"/>
      <c r="R67" s="334"/>
      <c r="S67" s="334"/>
      <c r="T67" s="334"/>
      <c r="U67" s="334"/>
      <c r="V67" s="334"/>
      <c r="W67" s="335"/>
    </row>
    <row r="68" spans="1:23" ht="31.5">
      <c r="A68" s="475"/>
      <c r="B68" s="476"/>
      <c r="C68" s="476" t="s">
        <v>1258</v>
      </c>
      <c r="D68" s="478" t="s">
        <v>1258</v>
      </c>
      <c r="E68" s="762" t="s">
        <v>1259</v>
      </c>
      <c r="F68" s="477" t="s">
        <v>1310</v>
      </c>
      <c r="G68" s="334">
        <v>38</v>
      </c>
      <c r="H68" s="1450">
        <v>88709</v>
      </c>
      <c r="I68" s="1450"/>
      <c r="J68" s="1450">
        <v>15754</v>
      </c>
      <c r="K68" s="1450"/>
      <c r="L68" s="333">
        <f>G68*H68</f>
        <v>3370942</v>
      </c>
      <c r="M68" s="333">
        <f>G68*I68</f>
        <v>0</v>
      </c>
      <c r="N68" s="333">
        <f>G68*J68</f>
        <v>598652</v>
      </c>
      <c r="O68" s="333">
        <f>G68*K68</f>
        <v>0</v>
      </c>
      <c r="P68" s="333"/>
      <c r="Q68" s="334"/>
      <c r="R68" s="334"/>
      <c r="S68" s="334"/>
      <c r="T68" s="334"/>
      <c r="U68" s="334"/>
      <c r="V68" s="334"/>
      <c r="W68" s="335"/>
    </row>
    <row r="69" spans="1:23" ht="47.25">
      <c r="A69" s="475"/>
      <c r="B69" s="476"/>
      <c r="C69" s="476" t="s">
        <v>1260</v>
      </c>
      <c r="D69" s="478" t="s">
        <v>1260</v>
      </c>
      <c r="E69" s="762" t="s">
        <v>1261</v>
      </c>
      <c r="F69" s="477" t="s">
        <v>1310</v>
      </c>
      <c r="G69" s="334">
        <v>2</v>
      </c>
      <c r="H69" s="1450">
        <v>3059106</v>
      </c>
      <c r="I69" s="1450"/>
      <c r="J69" s="1450">
        <v>65265</v>
      </c>
      <c r="K69" s="1450"/>
      <c r="L69" s="333">
        <f>G69*H69</f>
        <v>6118212</v>
      </c>
      <c r="M69" s="333">
        <f>G69*I69</f>
        <v>0</v>
      </c>
      <c r="N69" s="333">
        <f>G69*J69</f>
        <v>130530</v>
      </c>
      <c r="O69" s="333">
        <f>G69*K69</f>
        <v>0</v>
      </c>
      <c r="P69" s="333"/>
      <c r="Q69" s="334"/>
      <c r="R69" s="334"/>
      <c r="S69" s="334"/>
      <c r="T69" s="334"/>
      <c r="U69" s="334"/>
      <c r="V69" s="334"/>
      <c r="W69" s="335"/>
    </row>
    <row r="70" spans="1:23" ht="31.5">
      <c r="A70" s="475"/>
      <c r="B70" s="476"/>
      <c r="C70" s="476" t="s">
        <v>1262</v>
      </c>
      <c r="D70" s="478" t="s">
        <v>1262</v>
      </c>
      <c r="E70" s="762" t="s">
        <v>1263</v>
      </c>
      <c r="F70" s="477" t="s">
        <v>1310</v>
      </c>
      <c r="G70" s="334">
        <v>2</v>
      </c>
      <c r="H70" s="1450">
        <v>155016</v>
      </c>
      <c r="I70" s="1450"/>
      <c r="J70" s="1450">
        <v>128112</v>
      </c>
      <c r="K70" s="1450">
        <v>13501</v>
      </c>
      <c r="L70" s="333">
        <f>G70*H70</f>
        <v>310032</v>
      </c>
      <c r="M70" s="333">
        <f>G70*I70</f>
        <v>0</v>
      </c>
      <c r="N70" s="333">
        <f>G70*J70</f>
        <v>256224</v>
      </c>
      <c r="O70" s="333">
        <f>G70*K70</f>
        <v>27002</v>
      </c>
      <c r="P70" s="333"/>
      <c r="Q70" s="334"/>
      <c r="R70" s="334"/>
      <c r="S70" s="334"/>
      <c r="T70" s="334"/>
      <c r="U70" s="334"/>
      <c r="V70" s="334"/>
      <c r="W70" s="335"/>
    </row>
    <row r="71" spans="1:23" ht="47.25">
      <c r="A71" s="475"/>
      <c r="B71" s="476"/>
      <c r="C71" s="476" t="s">
        <v>1264</v>
      </c>
      <c r="D71" s="478" t="s">
        <v>1264</v>
      </c>
      <c r="E71" s="762" t="s">
        <v>1265</v>
      </c>
      <c r="F71" s="477" t="s">
        <v>1310</v>
      </c>
      <c r="G71" s="334">
        <v>4</v>
      </c>
      <c r="H71" s="1450">
        <v>4020</v>
      </c>
      <c r="I71" s="1450"/>
      <c r="J71" s="1450">
        <v>7121</v>
      </c>
      <c r="K71" s="1450">
        <v>3296</v>
      </c>
      <c r="L71" s="333">
        <f>G71*H71</f>
        <v>16080</v>
      </c>
      <c r="M71" s="333">
        <f>G71*I71</f>
        <v>0</v>
      </c>
      <c r="N71" s="333">
        <f>G71*J71</f>
        <v>28484</v>
      </c>
      <c r="O71" s="333">
        <f>G71*K71</f>
        <v>13184</v>
      </c>
      <c r="P71" s="333"/>
      <c r="Q71" s="334"/>
      <c r="R71" s="334"/>
      <c r="S71" s="334"/>
      <c r="T71" s="334"/>
      <c r="U71" s="334"/>
      <c r="V71" s="334"/>
      <c r="W71" s="335"/>
    </row>
    <row r="72" spans="1:23" ht="47.25">
      <c r="A72" s="475"/>
      <c r="B72" s="476"/>
      <c r="C72" s="476" t="s">
        <v>1266</v>
      </c>
      <c r="D72" s="478" t="s">
        <v>1266</v>
      </c>
      <c r="E72" s="762" t="s">
        <v>1267</v>
      </c>
      <c r="F72" s="477" t="s">
        <v>1310</v>
      </c>
      <c r="G72" s="334">
        <v>2</v>
      </c>
      <c r="H72" s="1450">
        <v>3390</v>
      </c>
      <c r="I72" s="1450"/>
      <c r="J72" s="1450">
        <v>6283</v>
      </c>
      <c r="K72" s="1450">
        <v>1977</v>
      </c>
      <c r="L72" s="333">
        <f>G72*H72</f>
        <v>6780</v>
      </c>
      <c r="M72" s="333">
        <f>G72*I72</f>
        <v>0</v>
      </c>
      <c r="N72" s="333">
        <f>G72*J72</f>
        <v>12566</v>
      </c>
      <c r="O72" s="333">
        <f>G72*K72</f>
        <v>3954</v>
      </c>
      <c r="P72" s="333"/>
      <c r="Q72" s="334"/>
      <c r="R72" s="334"/>
      <c r="S72" s="334"/>
      <c r="T72" s="334"/>
      <c r="U72" s="334"/>
      <c r="V72" s="334"/>
      <c r="W72" s="335"/>
    </row>
    <row r="73" spans="1:23" ht="47.25">
      <c r="A73" s="475"/>
      <c r="B73" s="476"/>
      <c r="C73" s="476" t="s">
        <v>1268</v>
      </c>
      <c r="D73" s="478" t="s">
        <v>1268</v>
      </c>
      <c r="E73" s="762" t="s">
        <v>1269</v>
      </c>
      <c r="F73" s="477" t="s">
        <v>1243</v>
      </c>
      <c r="G73" s="334">
        <v>0.35</v>
      </c>
      <c r="H73" s="1450">
        <v>3575758</v>
      </c>
      <c r="I73" s="1450"/>
      <c r="J73" s="1450">
        <v>1076496</v>
      </c>
      <c r="K73" s="1450">
        <v>94324</v>
      </c>
      <c r="L73" s="333">
        <f>G73*H73</f>
        <v>1251515.2999999998</v>
      </c>
      <c r="M73" s="333">
        <f>G73*I73</f>
        <v>0</v>
      </c>
      <c r="N73" s="333">
        <f>G73*J73</f>
        <v>376773.6</v>
      </c>
      <c r="O73" s="333">
        <f>G73*K73</f>
        <v>33013.4</v>
      </c>
      <c r="P73" s="333"/>
      <c r="Q73" s="334"/>
      <c r="R73" s="334"/>
      <c r="S73" s="334"/>
      <c r="T73" s="334"/>
      <c r="U73" s="334"/>
      <c r="V73" s="334"/>
      <c r="W73" s="335"/>
    </row>
    <row r="74" spans="1:23" ht="47.25">
      <c r="A74" s="475"/>
      <c r="B74" s="476"/>
      <c r="C74" s="476" t="s">
        <v>1268</v>
      </c>
      <c r="D74" s="478" t="s">
        <v>1268</v>
      </c>
      <c r="E74" s="762" t="s">
        <v>1270</v>
      </c>
      <c r="F74" s="477" t="s">
        <v>1243</v>
      </c>
      <c r="G74" s="334">
        <v>0.55000000000000004</v>
      </c>
      <c r="H74" s="1450">
        <v>3575758</v>
      </c>
      <c r="I74" s="1450"/>
      <c r="J74" s="1450">
        <v>1076496</v>
      </c>
      <c r="K74" s="1450">
        <v>94324</v>
      </c>
      <c r="L74" s="333">
        <f>G74*H74</f>
        <v>1966666.9000000001</v>
      </c>
      <c r="M74" s="333">
        <f>G74*I74</f>
        <v>0</v>
      </c>
      <c r="N74" s="333">
        <f>G74*J74</f>
        <v>592072.80000000005</v>
      </c>
      <c r="O74" s="333">
        <f>G74*K74</f>
        <v>51878.200000000004</v>
      </c>
      <c r="P74" s="333"/>
      <c r="Q74" s="334"/>
      <c r="R74" s="334"/>
      <c r="S74" s="334"/>
      <c r="T74" s="334"/>
      <c r="U74" s="334"/>
      <c r="V74" s="334"/>
      <c r="W74" s="335"/>
    </row>
    <row r="75" spans="1:23" ht="47.25">
      <c r="A75" s="475"/>
      <c r="B75" s="476"/>
      <c r="C75" s="476" t="s">
        <v>1271</v>
      </c>
      <c r="D75" s="478" t="s">
        <v>1271</v>
      </c>
      <c r="E75" s="762" t="s">
        <v>1272</v>
      </c>
      <c r="F75" s="477" t="s">
        <v>1243</v>
      </c>
      <c r="G75" s="334">
        <v>0.35</v>
      </c>
      <c r="H75" s="1450">
        <v>1955556</v>
      </c>
      <c r="I75" s="1450"/>
      <c r="J75" s="1450">
        <v>844442</v>
      </c>
      <c r="K75" s="1450">
        <v>65051</v>
      </c>
      <c r="L75" s="333">
        <f>G75*H75</f>
        <v>684444.6</v>
      </c>
      <c r="M75" s="333">
        <f>G75*I75</f>
        <v>0</v>
      </c>
      <c r="N75" s="333">
        <f>G75*J75</f>
        <v>295554.69999999995</v>
      </c>
      <c r="O75" s="333">
        <f>G75*K75</f>
        <v>22767.85</v>
      </c>
      <c r="P75" s="333"/>
      <c r="Q75" s="334"/>
      <c r="R75" s="334"/>
      <c r="S75" s="334"/>
      <c r="T75" s="334"/>
      <c r="U75" s="334"/>
      <c r="V75" s="334"/>
      <c r="W75" s="335"/>
    </row>
    <row r="76" spans="1:23" ht="47.25">
      <c r="A76" s="475"/>
      <c r="B76" s="476"/>
      <c r="C76" s="476" t="s">
        <v>1273</v>
      </c>
      <c r="D76" s="478" t="s">
        <v>1273</v>
      </c>
      <c r="E76" s="762" t="s">
        <v>1274</v>
      </c>
      <c r="F76" s="477" t="s">
        <v>1243</v>
      </c>
      <c r="G76" s="334">
        <v>0.18</v>
      </c>
      <c r="H76" s="1450">
        <v>1545455</v>
      </c>
      <c r="I76" s="1450"/>
      <c r="J76" s="1450">
        <v>831876</v>
      </c>
      <c r="K76" s="1450">
        <v>58546</v>
      </c>
      <c r="L76" s="333">
        <f>G76*H76</f>
        <v>278181.89999999997</v>
      </c>
      <c r="M76" s="333">
        <f>G76*I76</f>
        <v>0</v>
      </c>
      <c r="N76" s="333">
        <f>G76*J76</f>
        <v>149737.68</v>
      </c>
      <c r="O76" s="333">
        <f>G76*K76</f>
        <v>10538.279999999999</v>
      </c>
      <c r="P76" s="333"/>
      <c r="Q76" s="334"/>
      <c r="R76" s="334"/>
      <c r="S76" s="334"/>
      <c r="T76" s="334"/>
      <c r="U76" s="334"/>
      <c r="V76" s="334"/>
      <c r="W76" s="335"/>
    </row>
    <row r="77" spans="1:23" ht="47.25">
      <c r="A77" s="475"/>
      <c r="B77" s="476"/>
      <c r="C77" s="476" t="s">
        <v>1275</v>
      </c>
      <c r="D77" s="478" t="s">
        <v>1275</v>
      </c>
      <c r="E77" s="762" t="s">
        <v>1276</v>
      </c>
      <c r="F77" s="477" t="s">
        <v>1243</v>
      </c>
      <c r="G77" s="334">
        <v>0.42</v>
      </c>
      <c r="H77" s="1450">
        <v>818182</v>
      </c>
      <c r="I77" s="1450"/>
      <c r="J77" s="1450">
        <v>729672</v>
      </c>
      <c r="K77" s="1450">
        <v>40657</v>
      </c>
      <c r="L77" s="333">
        <f>G77*H77</f>
        <v>343636.44</v>
      </c>
      <c r="M77" s="333">
        <f>G77*I77</f>
        <v>0</v>
      </c>
      <c r="N77" s="333">
        <f>G77*J77</f>
        <v>306462.24</v>
      </c>
      <c r="O77" s="333">
        <f>G77*K77</f>
        <v>17075.939999999999</v>
      </c>
      <c r="P77" s="333"/>
      <c r="Q77" s="334"/>
      <c r="R77" s="334"/>
      <c r="S77" s="334"/>
      <c r="T77" s="334"/>
      <c r="U77" s="334"/>
      <c r="V77" s="334"/>
      <c r="W77" s="335"/>
    </row>
    <row r="78" spans="1:23" ht="31.5">
      <c r="A78" s="475"/>
      <c r="B78" s="476"/>
      <c r="C78" s="476" t="s">
        <v>1277</v>
      </c>
      <c r="D78" s="478" t="s">
        <v>1277</v>
      </c>
      <c r="E78" s="762" t="s">
        <v>1278</v>
      </c>
      <c r="F78" s="477" t="s">
        <v>1310</v>
      </c>
      <c r="G78" s="334">
        <v>4</v>
      </c>
      <c r="H78" s="1450">
        <v>38038</v>
      </c>
      <c r="I78" s="1450"/>
      <c r="J78" s="1450">
        <v>6283</v>
      </c>
      <c r="K78" s="1450">
        <v>11384</v>
      </c>
      <c r="L78" s="333">
        <f>G78*H78</f>
        <v>152152</v>
      </c>
      <c r="M78" s="333">
        <f>G78*I78</f>
        <v>0</v>
      </c>
      <c r="N78" s="333">
        <f>G78*J78</f>
        <v>25132</v>
      </c>
      <c r="O78" s="333">
        <f>G78*K78</f>
        <v>45536</v>
      </c>
      <c r="P78" s="333"/>
      <c r="Q78" s="334"/>
      <c r="R78" s="334"/>
      <c r="S78" s="334"/>
      <c r="T78" s="334"/>
      <c r="U78" s="334"/>
      <c r="V78" s="334"/>
      <c r="W78" s="335"/>
    </row>
    <row r="79" spans="1:23" ht="31.5">
      <c r="A79" s="475"/>
      <c r="B79" s="476"/>
      <c r="C79" s="476" t="s">
        <v>1277</v>
      </c>
      <c r="D79" s="478" t="s">
        <v>1277</v>
      </c>
      <c r="E79" s="762" t="s">
        <v>1279</v>
      </c>
      <c r="F79" s="477" t="s">
        <v>1310</v>
      </c>
      <c r="G79" s="334">
        <v>18</v>
      </c>
      <c r="H79" s="1450">
        <v>38038</v>
      </c>
      <c r="I79" s="1450"/>
      <c r="J79" s="1450">
        <v>6283</v>
      </c>
      <c r="K79" s="1450">
        <v>11384</v>
      </c>
      <c r="L79" s="333">
        <f>G79*H79</f>
        <v>684684</v>
      </c>
      <c r="M79" s="333">
        <f>G79*I79</f>
        <v>0</v>
      </c>
      <c r="N79" s="333">
        <f>G79*J79</f>
        <v>113094</v>
      </c>
      <c r="O79" s="333">
        <f>G79*K79</f>
        <v>204912</v>
      </c>
      <c r="P79" s="333"/>
      <c r="Q79" s="334"/>
      <c r="R79" s="334"/>
      <c r="S79" s="334"/>
      <c r="T79" s="334"/>
      <c r="U79" s="334"/>
      <c r="V79" s="334"/>
      <c r="W79" s="335"/>
    </row>
    <row r="80" spans="1:23" ht="31.5">
      <c r="A80" s="475"/>
      <c r="B80" s="476"/>
      <c r="C80" s="476" t="s">
        <v>1280</v>
      </c>
      <c r="D80" s="478" t="s">
        <v>1280</v>
      </c>
      <c r="E80" s="762" t="s">
        <v>1281</v>
      </c>
      <c r="F80" s="477" t="s">
        <v>1310</v>
      </c>
      <c r="G80" s="334">
        <v>26</v>
      </c>
      <c r="H80" s="1450">
        <v>6006</v>
      </c>
      <c r="I80" s="1450"/>
      <c r="J80" s="1450">
        <v>4608</v>
      </c>
      <c r="K80" s="1450">
        <v>6505</v>
      </c>
      <c r="L80" s="333">
        <f>G80*H80</f>
        <v>156156</v>
      </c>
      <c r="M80" s="333">
        <f>G80*I80</f>
        <v>0</v>
      </c>
      <c r="N80" s="333">
        <f>G80*J80</f>
        <v>119808</v>
      </c>
      <c r="O80" s="333">
        <f>G80*K80</f>
        <v>169130</v>
      </c>
      <c r="P80" s="333"/>
      <c r="Q80" s="334"/>
      <c r="R80" s="334"/>
      <c r="S80" s="334"/>
      <c r="T80" s="334"/>
      <c r="U80" s="334"/>
      <c r="V80" s="334"/>
      <c r="W80" s="335"/>
    </row>
    <row r="81" spans="1:23" ht="31.5">
      <c r="A81" s="475"/>
      <c r="B81" s="476"/>
      <c r="C81" s="476" t="s">
        <v>1282</v>
      </c>
      <c r="D81" s="478" t="s">
        <v>1282</v>
      </c>
      <c r="E81" s="762" t="s">
        <v>1283</v>
      </c>
      <c r="F81" s="477" t="s">
        <v>1310</v>
      </c>
      <c r="G81" s="334">
        <v>10</v>
      </c>
      <c r="H81" s="1450">
        <v>4004</v>
      </c>
      <c r="I81" s="1450"/>
      <c r="J81" s="1450">
        <v>3351</v>
      </c>
      <c r="K81" s="1450">
        <v>4879</v>
      </c>
      <c r="L81" s="333">
        <f>G81*H81</f>
        <v>40040</v>
      </c>
      <c r="M81" s="333">
        <f>G81*I81</f>
        <v>0</v>
      </c>
      <c r="N81" s="333">
        <f>G81*J81</f>
        <v>33510</v>
      </c>
      <c r="O81" s="333">
        <f>G81*K81</f>
        <v>48790</v>
      </c>
      <c r="P81" s="333"/>
      <c r="Q81" s="334"/>
      <c r="R81" s="334"/>
      <c r="S81" s="334"/>
      <c r="T81" s="334"/>
      <c r="U81" s="334"/>
      <c r="V81" s="334"/>
      <c r="W81" s="335"/>
    </row>
    <row r="82" spans="1:23" ht="47.25">
      <c r="A82" s="475"/>
      <c r="B82" s="476"/>
      <c r="C82" s="476" t="s">
        <v>1277</v>
      </c>
      <c r="D82" s="478" t="s">
        <v>1277</v>
      </c>
      <c r="E82" s="762" t="s">
        <v>1284</v>
      </c>
      <c r="F82" s="477" t="s">
        <v>1310</v>
      </c>
      <c r="G82" s="334">
        <v>2</v>
      </c>
      <c r="H82" s="1450">
        <v>38038</v>
      </c>
      <c r="I82" s="1450"/>
      <c r="J82" s="1450">
        <v>6283</v>
      </c>
      <c r="K82" s="1450">
        <v>11384</v>
      </c>
      <c r="L82" s="333">
        <f>G82*H82</f>
        <v>76076</v>
      </c>
      <c r="M82" s="333">
        <f>G82*I82</f>
        <v>0</v>
      </c>
      <c r="N82" s="333">
        <f>G82*J82</f>
        <v>12566</v>
      </c>
      <c r="O82" s="333">
        <f>G82*K82</f>
        <v>22768</v>
      </c>
      <c r="P82" s="333"/>
      <c r="Q82" s="334"/>
      <c r="R82" s="334"/>
      <c r="S82" s="334"/>
      <c r="T82" s="334"/>
      <c r="U82" s="334"/>
      <c r="V82" s="334"/>
      <c r="W82" s="335"/>
    </row>
    <row r="83" spans="1:23" ht="31.5">
      <c r="A83" s="475"/>
      <c r="B83" s="476"/>
      <c r="C83" s="476" t="s">
        <v>1277</v>
      </c>
      <c r="D83" s="478" t="s">
        <v>1277</v>
      </c>
      <c r="E83" s="762" t="s">
        <v>1279</v>
      </c>
      <c r="F83" s="477" t="s">
        <v>1310</v>
      </c>
      <c r="G83" s="334">
        <v>8</v>
      </c>
      <c r="H83" s="1450">
        <v>38038</v>
      </c>
      <c r="I83" s="1450"/>
      <c r="J83" s="1450">
        <v>6283</v>
      </c>
      <c r="K83" s="1450">
        <v>11384</v>
      </c>
      <c r="L83" s="333">
        <f>G83*H83</f>
        <v>304304</v>
      </c>
      <c r="M83" s="333">
        <f>G83*I83</f>
        <v>0</v>
      </c>
      <c r="N83" s="333">
        <f>G83*J83</f>
        <v>50264</v>
      </c>
      <c r="O83" s="333">
        <f>G83*K83</f>
        <v>91072</v>
      </c>
      <c r="P83" s="333"/>
      <c r="Q83" s="334"/>
      <c r="R83" s="334"/>
      <c r="S83" s="334"/>
      <c r="T83" s="334"/>
      <c r="U83" s="334"/>
      <c r="V83" s="334"/>
      <c r="W83" s="335"/>
    </row>
    <row r="84" spans="1:23" ht="31.5">
      <c r="A84" s="475"/>
      <c r="B84" s="476"/>
      <c r="C84" s="476" t="s">
        <v>1285</v>
      </c>
      <c r="D84" s="478" t="s">
        <v>1285</v>
      </c>
      <c r="E84" s="762" t="s">
        <v>1286</v>
      </c>
      <c r="F84" s="477" t="s">
        <v>1310</v>
      </c>
      <c r="G84" s="334">
        <v>4</v>
      </c>
      <c r="H84" s="1450">
        <v>38038</v>
      </c>
      <c r="I84" s="1450"/>
      <c r="J84" s="1450">
        <v>6283</v>
      </c>
      <c r="K84" s="1450">
        <v>11384</v>
      </c>
      <c r="L84" s="333">
        <f>G84*H84</f>
        <v>152152</v>
      </c>
      <c r="M84" s="333">
        <f>G84*I84</f>
        <v>0</v>
      </c>
      <c r="N84" s="333">
        <f>G84*J84</f>
        <v>25132</v>
      </c>
      <c r="O84" s="333">
        <f>G84*K84</f>
        <v>45536</v>
      </c>
      <c r="P84" s="333"/>
      <c r="Q84" s="334"/>
      <c r="R84" s="334"/>
      <c r="S84" s="334"/>
      <c r="T84" s="334"/>
      <c r="U84" s="334"/>
      <c r="V84" s="334"/>
      <c r="W84" s="335"/>
    </row>
    <row r="85" spans="1:23" ht="31.5">
      <c r="A85" s="475"/>
      <c r="B85" s="476"/>
      <c r="C85" s="476" t="s">
        <v>1287</v>
      </c>
      <c r="D85" s="478" t="s">
        <v>1287</v>
      </c>
      <c r="E85" s="762" t="s">
        <v>1288</v>
      </c>
      <c r="F85" s="477" t="s">
        <v>1310</v>
      </c>
      <c r="G85" s="334">
        <v>6</v>
      </c>
      <c r="H85" s="1450">
        <v>6006</v>
      </c>
      <c r="I85" s="1450"/>
      <c r="J85" s="1450">
        <v>4608</v>
      </c>
      <c r="K85" s="1450">
        <v>6505</v>
      </c>
      <c r="L85" s="333">
        <f>G85*H85</f>
        <v>36036</v>
      </c>
      <c r="M85" s="333">
        <f>G85*I85</f>
        <v>0</v>
      </c>
      <c r="N85" s="333">
        <f>G85*J85</f>
        <v>27648</v>
      </c>
      <c r="O85" s="333">
        <f>G85*K85</f>
        <v>39030</v>
      </c>
      <c r="P85" s="333"/>
      <c r="Q85" s="334"/>
      <c r="R85" s="334"/>
      <c r="S85" s="334"/>
      <c r="T85" s="334"/>
      <c r="U85" s="334"/>
      <c r="V85" s="334"/>
      <c r="W85" s="335"/>
    </row>
    <row r="86" spans="1:23">
      <c r="A86" s="475"/>
      <c r="B86" s="476"/>
      <c r="C86" s="476" t="s">
        <v>1289</v>
      </c>
      <c r="D86" s="478" t="s">
        <v>1289</v>
      </c>
      <c r="E86" s="762" t="s">
        <v>1290</v>
      </c>
      <c r="F86" s="477" t="s">
        <v>1310</v>
      </c>
      <c r="G86" s="334">
        <v>2</v>
      </c>
      <c r="H86" s="1450">
        <v>15002</v>
      </c>
      <c r="I86" s="1450"/>
      <c r="J86" s="1450">
        <v>6702</v>
      </c>
      <c r="K86" s="1450"/>
      <c r="L86" s="333">
        <f>G86*H86</f>
        <v>30004</v>
      </c>
      <c r="M86" s="333">
        <f>G86*I86</f>
        <v>0</v>
      </c>
      <c r="N86" s="333">
        <f>G86*J86</f>
        <v>13404</v>
      </c>
      <c r="O86" s="333">
        <f>G86*K86</f>
        <v>0</v>
      </c>
      <c r="P86" s="333"/>
      <c r="Q86" s="334"/>
      <c r="R86" s="334"/>
      <c r="S86" s="334"/>
      <c r="T86" s="334"/>
      <c r="U86" s="334"/>
      <c r="V86" s="334"/>
      <c r="W86" s="335"/>
    </row>
    <row r="87" spans="1:23">
      <c r="A87" s="475"/>
      <c r="B87" s="476"/>
      <c r="C87" s="476"/>
      <c r="D87" s="1451" t="s">
        <v>9</v>
      </c>
      <c r="E87" s="762" t="s">
        <v>1291</v>
      </c>
      <c r="F87" s="477" t="s">
        <v>1178</v>
      </c>
      <c r="G87" s="334">
        <v>3</v>
      </c>
      <c r="H87" s="333">
        <v>15000</v>
      </c>
      <c r="I87" s="333">
        <v>0</v>
      </c>
      <c r="J87" s="333">
        <v>0</v>
      </c>
      <c r="K87" s="333">
        <v>0</v>
      </c>
      <c r="L87" s="333">
        <f>G87*H87</f>
        <v>45000</v>
      </c>
      <c r="M87" s="333">
        <f>G87*I87</f>
        <v>0</v>
      </c>
      <c r="N87" s="333">
        <f>G87*J87</f>
        <v>0</v>
      </c>
      <c r="O87" s="333">
        <f>G87*K87</f>
        <v>0</v>
      </c>
      <c r="P87" s="333"/>
      <c r="Q87" s="334"/>
      <c r="R87" s="334"/>
      <c r="S87" s="334"/>
      <c r="T87" s="334"/>
      <c r="U87" s="334"/>
      <c r="V87" s="334"/>
      <c r="W87" s="335"/>
    </row>
    <row r="88" spans="1:23">
      <c r="A88" s="475"/>
      <c r="B88" s="476"/>
      <c r="C88" s="476"/>
      <c r="D88" s="1451" t="s">
        <v>9</v>
      </c>
      <c r="E88" s="762" t="s">
        <v>1292</v>
      </c>
      <c r="F88" s="477" t="s">
        <v>1178</v>
      </c>
      <c r="G88" s="334">
        <v>2</v>
      </c>
      <c r="H88" s="333">
        <v>10000</v>
      </c>
      <c r="I88" s="333">
        <v>0</v>
      </c>
      <c r="J88" s="333">
        <v>0</v>
      </c>
      <c r="K88" s="333">
        <v>0</v>
      </c>
      <c r="L88" s="333">
        <f>G88*H88</f>
        <v>20000</v>
      </c>
      <c r="M88" s="333">
        <f>G88*I88</f>
        <v>0</v>
      </c>
      <c r="N88" s="333">
        <f>G88*J88</f>
        <v>0</v>
      </c>
      <c r="O88" s="333">
        <f>G88*K88</f>
        <v>0</v>
      </c>
      <c r="P88" s="333"/>
      <c r="Q88" s="334"/>
      <c r="R88" s="334"/>
      <c r="S88" s="334"/>
      <c r="T88" s="334"/>
      <c r="U88" s="334"/>
      <c r="V88" s="334"/>
      <c r="W88" s="335"/>
    </row>
    <row r="89" spans="1:23">
      <c r="A89" s="475"/>
      <c r="B89" s="476"/>
      <c r="C89" s="476" t="s">
        <v>1293</v>
      </c>
      <c r="D89" s="478" t="s">
        <v>1293</v>
      </c>
      <c r="E89" s="762" t="s">
        <v>1294</v>
      </c>
      <c r="F89" s="477" t="s">
        <v>1309</v>
      </c>
      <c r="G89" s="334">
        <v>4</v>
      </c>
      <c r="H89" s="1450">
        <v>250025</v>
      </c>
      <c r="I89" s="1450"/>
      <c r="J89" s="1450">
        <v>62831</v>
      </c>
      <c r="K89" s="1450"/>
      <c r="L89" s="333">
        <f>G89*H89</f>
        <v>1000100</v>
      </c>
      <c r="M89" s="333">
        <f>G89*I89</f>
        <v>0</v>
      </c>
      <c r="N89" s="333">
        <f>G89*J89</f>
        <v>251324</v>
      </c>
      <c r="O89" s="333">
        <f>G89*K89</f>
        <v>0</v>
      </c>
      <c r="P89" s="333"/>
      <c r="Q89" s="334"/>
      <c r="R89" s="334"/>
      <c r="S89" s="334"/>
      <c r="T89" s="334"/>
      <c r="U89" s="334"/>
      <c r="V89" s="334"/>
      <c r="W89" s="335"/>
    </row>
    <row r="90" spans="1:23" ht="31.5">
      <c r="A90" s="475"/>
      <c r="B90" s="476"/>
      <c r="C90" s="476" t="s">
        <v>1295</v>
      </c>
      <c r="D90" s="478" t="s">
        <v>1295</v>
      </c>
      <c r="E90" s="762" t="s">
        <v>1296</v>
      </c>
      <c r="F90" s="477" t="s">
        <v>1309</v>
      </c>
      <c r="G90" s="334">
        <v>5</v>
      </c>
      <c r="H90" s="1450">
        <v>300030</v>
      </c>
      <c r="I90" s="1450"/>
      <c r="J90" s="1450">
        <v>25132</v>
      </c>
      <c r="K90" s="1450"/>
      <c r="L90" s="333">
        <f>G90*H90</f>
        <v>1500150</v>
      </c>
      <c r="M90" s="333">
        <f>G90*I90</f>
        <v>0</v>
      </c>
      <c r="N90" s="333">
        <f>G90*J90</f>
        <v>125660</v>
      </c>
      <c r="O90" s="333">
        <f>G90*K90</f>
        <v>0</v>
      </c>
      <c r="P90" s="333"/>
      <c r="Q90" s="334"/>
      <c r="R90" s="334"/>
      <c r="S90" s="334"/>
      <c r="T90" s="334"/>
      <c r="U90" s="334"/>
      <c r="V90" s="334"/>
      <c r="W90" s="335"/>
    </row>
    <row r="91" spans="1:23" ht="31.5">
      <c r="A91" s="475"/>
      <c r="B91" s="476"/>
      <c r="C91" s="476" t="s">
        <v>1297</v>
      </c>
      <c r="D91" s="478" t="s">
        <v>1297</v>
      </c>
      <c r="E91" s="762" t="s">
        <v>1298</v>
      </c>
      <c r="F91" s="477" t="s">
        <v>1309</v>
      </c>
      <c r="G91" s="334">
        <v>5</v>
      </c>
      <c r="H91" s="1450">
        <v>25003</v>
      </c>
      <c r="I91" s="1450"/>
      <c r="J91" s="1450">
        <v>7121</v>
      </c>
      <c r="K91" s="1450"/>
      <c r="L91" s="333">
        <f>G91*H91</f>
        <v>125015</v>
      </c>
      <c r="M91" s="333">
        <f>G91*I91</f>
        <v>0</v>
      </c>
      <c r="N91" s="333">
        <f>G91*J91</f>
        <v>35605</v>
      </c>
      <c r="O91" s="333">
        <f>G91*K91</f>
        <v>0</v>
      </c>
      <c r="P91" s="333"/>
      <c r="Q91" s="334"/>
      <c r="R91" s="334"/>
      <c r="S91" s="334"/>
      <c r="T91" s="334"/>
      <c r="U91" s="334"/>
      <c r="V91" s="334"/>
      <c r="W91" s="335"/>
    </row>
    <row r="92" spans="1:23" ht="31.5">
      <c r="A92" s="475"/>
      <c r="B92" s="476"/>
      <c r="C92" s="476" t="s">
        <v>1299</v>
      </c>
      <c r="D92" s="478" t="s">
        <v>1299</v>
      </c>
      <c r="E92" s="762" t="s">
        <v>1300</v>
      </c>
      <c r="F92" s="477" t="s">
        <v>1309</v>
      </c>
      <c r="G92" s="334">
        <v>2</v>
      </c>
      <c r="H92" s="1450">
        <v>90009</v>
      </c>
      <c r="I92" s="1450"/>
      <c r="J92" s="1450">
        <v>8377</v>
      </c>
      <c r="K92" s="1450"/>
      <c r="L92" s="333">
        <f>G92*H92</f>
        <v>180018</v>
      </c>
      <c r="M92" s="333">
        <f>G92*I92</f>
        <v>0</v>
      </c>
      <c r="N92" s="333">
        <f>G92*J92</f>
        <v>16754</v>
      </c>
      <c r="O92" s="333">
        <f>G92*K92</f>
        <v>0</v>
      </c>
      <c r="P92" s="333"/>
      <c r="Q92" s="334"/>
      <c r="R92" s="334"/>
      <c r="S92" s="334"/>
      <c r="T92" s="334"/>
      <c r="U92" s="334"/>
      <c r="V92" s="334"/>
      <c r="W92" s="335"/>
    </row>
    <row r="93" spans="1:23" ht="31.5">
      <c r="A93" s="475"/>
      <c r="B93" s="476"/>
      <c r="C93" s="476" t="s">
        <v>1301</v>
      </c>
      <c r="D93" s="478" t="s">
        <v>1301</v>
      </c>
      <c r="E93" s="762" t="s">
        <v>1302</v>
      </c>
      <c r="F93" s="477" t="s">
        <v>1309</v>
      </c>
      <c r="G93" s="334">
        <v>2</v>
      </c>
      <c r="H93" s="1450">
        <v>1500150</v>
      </c>
      <c r="I93" s="1450"/>
      <c r="J93" s="1450">
        <v>67019</v>
      </c>
      <c r="K93" s="1450"/>
      <c r="L93" s="333">
        <f>G93*H93</f>
        <v>3000300</v>
      </c>
      <c r="M93" s="333">
        <f>G93*I93</f>
        <v>0</v>
      </c>
      <c r="N93" s="333">
        <f>G93*J93</f>
        <v>134038</v>
      </c>
      <c r="O93" s="333">
        <f>G93*K93</f>
        <v>0</v>
      </c>
      <c r="P93" s="333"/>
      <c r="Q93" s="334"/>
      <c r="R93" s="334"/>
      <c r="S93" s="334"/>
      <c r="T93" s="334"/>
      <c r="U93" s="334"/>
      <c r="V93" s="334"/>
      <c r="W93" s="335"/>
    </row>
    <row r="94" spans="1:23">
      <c r="A94" s="475"/>
      <c r="B94" s="476"/>
      <c r="C94" s="476"/>
      <c r="D94" s="1451" t="s">
        <v>9</v>
      </c>
      <c r="E94" s="762" t="s">
        <v>1303</v>
      </c>
      <c r="F94" s="477" t="s">
        <v>1153</v>
      </c>
      <c r="G94" s="334">
        <v>1</v>
      </c>
      <c r="H94" s="333">
        <v>1200000</v>
      </c>
      <c r="I94" s="333">
        <v>0</v>
      </c>
      <c r="J94" s="333">
        <v>0</v>
      </c>
      <c r="K94" s="333">
        <v>0</v>
      </c>
      <c r="L94" s="333">
        <f>G94*H94</f>
        <v>1200000</v>
      </c>
      <c r="M94" s="333">
        <f>G94*I94</f>
        <v>0</v>
      </c>
      <c r="N94" s="333">
        <f>G94*J94</f>
        <v>0</v>
      </c>
      <c r="O94" s="333">
        <f>G94*K94</f>
        <v>0</v>
      </c>
      <c r="P94" s="333"/>
      <c r="Q94" s="334"/>
      <c r="R94" s="334"/>
      <c r="S94" s="334"/>
      <c r="T94" s="334"/>
      <c r="U94" s="334"/>
      <c r="V94" s="334"/>
      <c r="W94" s="335"/>
    </row>
    <row r="95" spans="1:23">
      <c r="A95" s="475"/>
      <c r="B95" s="476"/>
      <c r="C95" s="476" t="s">
        <v>1295</v>
      </c>
      <c r="D95" s="478" t="s">
        <v>1295</v>
      </c>
      <c r="E95" s="762" t="s">
        <v>1304</v>
      </c>
      <c r="F95" s="477" t="s">
        <v>1309</v>
      </c>
      <c r="G95" s="334">
        <v>1</v>
      </c>
      <c r="H95" s="1450">
        <v>300030</v>
      </c>
      <c r="I95" s="1450"/>
      <c r="J95" s="1450">
        <v>25132</v>
      </c>
      <c r="K95" s="1450"/>
      <c r="L95" s="333">
        <f>G95*H95</f>
        <v>300030</v>
      </c>
      <c r="M95" s="333">
        <f>G95*I95</f>
        <v>0</v>
      </c>
      <c r="N95" s="333">
        <f>G95*J95</f>
        <v>25132</v>
      </c>
      <c r="O95" s="333">
        <f>G95*K95</f>
        <v>0</v>
      </c>
      <c r="P95" s="333"/>
      <c r="Q95" s="334"/>
      <c r="R95" s="334"/>
      <c r="S95" s="334"/>
      <c r="T95" s="334"/>
      <c r="U95" s="334"/>
      <c r="V95" s="334"/>
      <c r="W95" s="335"/>
    </row>
    <row r="96" spans="1:23">
      <c r="A96" s="475"/>
      <c r="B96" s="476"/>
      <c r="C96" s="476"/>
      <c r="D96" s="1451" t="s">
        <v>9</v>
      </c>
      <c r="E96" s="762" t="s">
        <v>1305</v>
      </c>
      <c r="F96" s="477" t="s">
        <v>1178</v>
      </c>
      <c r="G96" s="334">
        <v>1</v>
      </c>
      <c r="H96" s="333">
        <v>6364600</v>
      </c>
      <c r="I96" s="333">
        <v>0</v>
      </c>
      <c r="J96" s="333">
        <v>0</v>
      </c>
      <c r="K96" s="333">
        <v>0</v>
      </c>
      <c r="L96" s="333">
        <f>G96*H96</f>
        <v>6364600</v>
      </c>
      <c r="M96" s="333">
        <f>G96*I96</f>
        <v>0</v>
      </c>
      <c r="N96" s="333">
        <f>G96*J96</f>
        <v>0</v>
      </c>
      <c r="O96" s="333">
        <f>G96*K96</f>
        <v>0</v>
      </c>
      <c r="P96" s="333"/>
      <c r="Q96" s="334"/>
      <c r="R96" s="334"/>
      <c r="S96" s="334"/>
      <c r="T96" s="334"/>
      <c r="U96" s="334"/>
      <c r="V96" s="334"/>
      <c r="W96" s="335"/>
    </row>
    <row r="97" spans="1:23">
      <c r="A97" s="475"/>
      <c r="B97" s="476"/>
      <c r="C97" s="476" t="s">
        <v>1306</v>
      </c>
      <c r="D97" s="478" t="s">
        <v>1306</v>
      </c>
      <c r="E97" s="762" t="s">
        <v>1307</v>
      </c>
      <c r="F97" s="477" t="s">
        <v>1310</v>
      </c>
      <c r="G97" s="334">
        <v>4</v>
      </c>
      <c r="H97" s="1450">
        <v>47000</v>
      </c>
      <c r="I97" s="1450"/>
      <c r="J97" s="1450">
        <v>5445</v>
      </c>
      <c r="K97" s="1450"/>
      <c r="L97" s="333">
        <f>G97*H97</f>
        <v>188000</v>
      </c>
      <c r="M97" s="333">
        <f>G97*I97</f>
        <v>0</v>
      </c>
      <c r="N97" s="333">
        <f>G97*J97</f>
        <v>21780</v>
      </c>
      <c r="O97" s="333">
        <f>G97*K97</f>
        <v>0</v>
      </c>
      <c r="P97" s="333"/>
      <c r="Q97" s="334"/>
      <c r="R97" s="334"/>
      <c r="S97" s="334"/>
      <c r="T97" s="334"/>
      <c r="U97" s="334"/>
      <c r="V97" s="334"/>
      <c r="W97" s="335"/>
    </row>
    <row r="98" spans="1:23" ht="31.5">
      <c r="A98" s="475"/>
      <c r="B98" s="476"/>
      <c r="C98" s="476"/>
      <c r="D98" s="1451" t="s">
        <v>9</v>
      </c>
      <c r="E98" s="762" t="s">
        <v>1308</v>
      </c>
      <c r="F98" s="477" t="s">
        <v>1178</v>
      </c>
      <c r="G98" s="334">
        <v>1</v>
      </c>
      <c r="H98" s="333">
        <v>900000</v>
      </c>
      <c r="I98" s="333">
        <v>0</v>
      </c>
      <c r="J98" s="333">
        <v>0</v>
      </c>
      <c r="K98" s="333">
        <v>0</v>
      </c>
      <c r="L98" s="333">
        <f>G98*H98</f>
        <v>900000</v>
      </c>
      <c r="M98" s="333">
        <f>G98*I98</f>
        <v>0</v>
      </c>
      <c r="N98" s="333">
        <f>G98*J98</f>
        <v>0</v>
      </c>
      <c r="O98" s="333">
        <f>G98*K98</f>
        <v>0</v>
      </c>
      <c r="P98" s="333"/>
      <c r="Q98" s="334"/>
      <c r="R98" s="334"/>
      <c r="S98" s="334"/>
      <c r="T98" s="334"/>
      <c r="U98" s="334"/>
      <c r="V98" s="334"/>
      <c r="W98" s="335"/>
    </row>
    <row r="99" spans="1:23">
      <c r="A99" s="475"/>
      <c r="B99" s="476"/>
      <c r="C99" s="476"/>
      <c r="D99" s="474"/>
      <c r="E99" s="762"/>
      <c r="F99" s="477"/>
      <c r="G99" s="334"/>
      <c r="H99" s="333"/>
      <c r="I99" s="333"/>
      <c r="J99" s="333"/>
      <c r="K99" s="333"/>
      <c r="L99" s="333"/>
      <c r="M99" s="333"/>
      <c r="N99" s="333"/>
      <c r="O99" s="333"/>
      <c r="P99" s="333"/>
      <c r="Q99" s="334"/>
      <c r="R99" s="334"/>
      <c r="S99" s="334"/>
      <c r="T99" s="334"/>
      <c r="U99" s="334"/>
      <c r="V99" s="334"/>
      <c r="W99" s="335"/>
    </row>
    <row r="100" spans="1:23">
      <c r="A100" s="336"/>
      <c r="B100" s="337"/>
      <c r="C100" s="337"/>
      <c r="D100" s="338" t="s">
        <v>945</v>
      </c>
      <c r="E100" s="883" t="s">
        <v>946</v>
      </c>
      <c r="F100" s="339"/>
      <c r="G100" s="340"/>
      <c r="H100" s="341"/>
      <c r="I100" s="341"/>
      <c r="J100" s="341"/>
      <c r="K100" s="341"/>
      <c r="L100" s="505">
        <f>SUM(L9:L99)</f>
        <v>74264342.929999992</v>
      </c>
      <c r="M100" s="505">
        <f>SUM(M9:M99)</f>
        <v>0</v>
      </c>
      <c r="N100" s="505">
        <f>SUM(N9:N99)</f>
        <v>10015056.649999999</v>
      </c>
      <c r="O100" s="505">
        <f>SUM(O9:O99)</f>
        <v>1383862.97</v>
      </c>
      <c r="P100" s="342"/>
      <c r="Q100" s="343"/>
      <c r="R100" s="343"/>
      <c r="S100" s="343"/>
      <c r="T100" s="343"/>
      <c r="U100" s="343"/>
      <c r="V100" s="343"/>
      <c r="W100" s="344"/>
    </row>
    <row r="101" spans="1:23">
      <c r="A101" s="345"/>
      <c r="B101" s="346"/>
      <c r="C101" s="346"/>
      <c r="D101" s="346"/>
      <c r="E101" s="346"/>
      <c r="F101" s="347"/>
      <c r="G101" s="348"/>
      <c r="H101" s="345"/>
      <c r="I101" s="345"/>
      <c r="J101" s="345"/>
      <c r="K101" s="345"/>
      <c r="L101" s="349" t="s">
        <v>273</v>
      </c>
      <c r="M101" s="349" t="s">
        <v>645</v>
      </c>
      <c r="N101" s="349" t="s">
        <v>659</v>
      </c>
      <c r="O101" s="349" t="s">
        <v>277</v>
      </c>
    </row>
    <row r="102" spans="1:23">
      <c r="A102" s="345"/>
      <c r="B102" s="346"/>
      <c r="C102" s="346"/>
      <c r="D102" s="346"/>
      <c r="E102" s="346"/>
      <c r="F102" s="347"/>
      <c r="G102" s="348"/>
      <c r="H102" s="345"/>
      <c r="I102" s="345"/>
      <c r="J102" s="345"/>
      <c r="K102" s="345"/>
      <c r="L102" s="345"/>
      <c r="M102" s="345"/>
      <c r="N102" s="345"/>
      <c r="O102" s="345"/>
      <c r="P102" s="350" t="s">
        <v>321</v>
      </c>
      <c r="Q102" s="350"/>
      <c r="R102" s="326"/>
      <c r="U102" s="350" t="s">
        <v>322</v>
      </c>
      <c r="V102" s="350"/>
      <c r="W102" s="326"/>
    </row>
    <row r="103" spans="1:23">
      <c r="P103" s="351" t="s">
        <v>323</v>
      </c>
      <c r="Q103" s="351"/>
      <c r="R103" s="319"/>
      <c r="U103" s="351" t="s">
        <v>323</v>
      </c>
      <c r="V103" s="351"/>
      <c r="W103" s="319"/>
    </row>
    <row r="104" spans="1:23">
      <c r="P104" s="351"/>
      <c r="Q104" s="351"/>
      <c r="R104" s="319"/>
      <c r="U104" s="351"/>
      <c r="V104" s="351"/>
      <c r="W104" s="319"/>
    </row>
    <row r="105" spans="1:23">
      <c r="P105" s="351"/>
      <c r="Q105" s="351"/>
      <c r="R105" s="319"/>
      <c r="U105" s="351"/>
      <c r="V105" s="351"/>
      <c r="W105" s="319"/>
    </row>
    <row r="106" spans="1:23">
      <c r="P106" s="351"/>
      <c r="Q106" s="351"/>
      <c r="R106" s="319"/>
      <c r="U106" s="351" t="s">
        <v>324</v>
      </c>
      <c r="V106" s="351"/>
      <c r="W106" s="319"/>
    </row>
    <row r="108" spans="1:23">
      <c r="P108" s="326" t="s">
        <v>325</v>
      </c>
      <c r="Q108" s="351"/>
      <c r="R108" s="351"/>
      <c r="S108" s="351"/>
      <c r="T108" s="351"/>
      <c r="U108" s="351"/>
      <c r="V108" s="351"/>
      <c r="W108" s="319"/>
    </row>
    <row r="109" spans="1:23">
      <c r="P109" s="319" t="s">
        <v>326</v>
      </c>
      <c r="Q109" s="351"/>
      <c r="R109" s="351"/>
      <c r="S109" s="351"/>
      <c r="T109" s="351"/>
      <c r="U109" s="351"/>
      <c r="V109" s="351"/>
      <c r="W109" s="319"/>
    </row>
  </sheetData>
  <autoFilter ref="A9:O98"/>
  <mergeCells count="12">
    <mergeCell ref="U5:U6"/>
    <mergeCell ref="V5:V6"/>
    <mergeCell ref="W5:W6"/>
    <mergeCell ref="A5:A6"/>
    <mergeCell ref="E5:E6"/>
    <mergeCell ref="F5:F6"/>
    <mergeCell ref="P5:P6"/>
    <mergeCell ref="T5:T6"/>
    <mergeCell ref="D5:D6"/>
    <mergeCell ref="G5:G6"/>
    <mergeCell ref="C5:C6"/>
    <mergeCell ref="B5:B6"/>
  </mergeCells>
  <phoneticPr fontId="87" type="noConversion"/>
  <conditionalFormatting sqref="X7:AA99">
    <cfRule type="cellIs" dxfId="2" priority="6" stopIfTrue="1" operator="notEqual">
      <formula>H7</formula>
    </cfRule>
  </conditionalFormatting>
  <conditionalFormatting sqref="X7:AA8">
    <cfRule type="cellIs" dxfId="1" priority="4" stopIfTrue="1" operator="notEqual">
      <formula>H7</formula>
    </cfRule>
  </conditionalFormatting>
  <conditionalFormatting sqref="X7:AA8">
    <cfRule type="cellIs" dxfId="0" priority="3" stopIfTrue="1" operator="notEqual">
      <formula>H7</formula>
    </cfRule>
  </conditionalFormatting>
  <dataValidations count="3">
    <dataValidation allowBlank="1" showInputMessage="1" showErrorMessage="1" prompt="Gõ tông+dầm+giằng+250 sẽ tìm được bê tông dầm, giằng mác 250." sqref="D10"/>
    <dataValidation allowBlank="1" showInputMessage="1" showErrorMessage="1" prompt="GXD9 Version 2013" sqref="A1"/>
    <dataValidation allowBlank="1" showInputMessage="1" showErrorMessage="1" prompt="- Gõ mã hiệu trực tiếp vào. Gõ AB.11111 hoặc AB,11111.&#10;- Gõ AB ấn Enter sẽ gọi danh mục các mã chứa AB.&#10;- Chọn gõ từ khóa có trong tên công việc, kết hợp dấu + hoặc dấu ; để tìm mã công việc. VD: gõ Xây+mác 75 sẽ ra các công tác có chữ Xây và chữ mác 75." sqref="D9"/>
  </dataValidations>
  <hyperlinks>
    <hyperlink ref="A1" location="Gxd!A1" tooltip="Về bảng TH dự toán chi phí xây dựng" display="BẢNG DỰ TOÁN CHI PHÍ XÂY DỰNG"/>
  </hyperlinks>
  <printOptions horizontalCentered="1"/>
  <pageMargins left="0.75" right="7.8740157480315001E-2" top="0.5" bottom="0.5" header="0.25" footer="0.25"/>
  <pageSetup paperSize="9" orientation="landscape" blackAndWhite="1" horizontalDpi="300" verticalDpi="300" r:id="rId1"/>
  <headerFooter>
    <oddHeader>&amp;L&amp;"+,nghiêng"&amp;10Dự toán GXD - www.giaxaydung.vn</oddHeader>
    <oddFooter>&amp;C&amp;P</oddFooter>
  </headerFooter>
  <ignoredErrors>
    <ignoredError sqref="A2:A3 M100:O100 L100" unlockedFormula="1"/>
  </ignoredErrors>
  <legacyDrawing r:id="rId2"/>
</worksheet>
</file>

<file path=customUI/customUI.xml><?xml version="1.0" encoding="utf-8"?>
<customUI xmlns="http://schemas.microsoft.com/office/2006/01/customui" onLoad="ribbonLoaded">
  <commands>
    <command idMso="FileSave" onAction="Savedg"/>
    <command idMso="FileOpen" onAction="MOFILEDT"/>
  </commands>
  <ribbon>
    <officeMenu>
      <button idMso="FileSave" label="GXD Save" imageMso="FileSave"/>
    </officeMenu>
    <tabs>
      <tab id="custTab1" getLabel="label1" keytip="G" insertBeforeMso="TabHome" getVisible="hidden">
        <group id="dutoanGXD" label="1">
          <dynamicMenu id="mn1" size="large" getLabel="label1" imageMso="BlogHomePage" getContent="DutoanGXD.xla!menu1"/>
        </group>
        <group id="option1" label="Dự toán GXD">
          <box id="box1" boxStyle="vertical">
            <buttonGroup id="bgp1">
              <button id="qnew" onAction="DutoanGXD.xla!mnnew" imageMso="FileNew" getScreentip="DutoanGXD.xla!scnew"/>
              <button id="qopen" onAction="DutoanGXD.xla!mnopen" imageMso="FileOpen" getScreentip="DutoanGXD.xla!scopen"/>
              <button id="qsave" onAction="Savedg2" imageMso="FileSave" getScreentip="DutoanGXD.xla!scsave"/>
              <button id="qcsdl" onAction="DutoanGXD.xla!mncsdl" imageMso="PivotTableShowPages" getScreentip="DutoanGXD.xla!sccsdl"/>
              <button id="qtuychon" onAction="DutoanGXD.xla!mntc" imageMso="TableSharePointListsModifyColumnsAndSettings" getScreentip="DutoanGXD.xla!scTuychon"/>
            </buttonGroup>
            <buttonGroup id="bgp22">
              <button id="chuhoa" onAction="DutoanGXD.xla!mnchoa" imageMso="FormatCellsFontDialog" getScreentip="DutoanGXD.xla!scChuhoa"/>
              <button id="chuthuong" onAction="DutoanGXD.xla!mncthuong" imageMso="AsianLayoutCombineCharacters" getScreentip="DutoanGXD.xla!scChuthuong"/>
              <button id="chuhoadaucau" onAction="DutoanGXD.xla!mnchdd" imageMso="ContentControlRichText" getScreentip="DutoanGXD.xla!scHoadaucau"/>
              <button id="doibangma" onAction="DutoanGXD.xla!mnconvert" imageMso="AsianLayoutMenu" getScreentip="DutoanGXD.xla!scDoibangma"/>
            </buttonGroup>
          </box>
        </group>
        <group id="tinhtoan" label="2">
          <dynamicMenu id="mn2" size="large" getLabel="DutoanGXD.xla!label2" imageMso="TableDesign" getContent="DutoanGXD.xla!menu2"/>
        </group>
        <!-- Add xay dung group -->
        <group id="Quicktb" label="Xây dựng">
          <box id="gbox12" boxStyle="horizontal">
            <comboBox id="Combo1" label="Hạng mục:" getItemID="DutoanGXD.xla!cmb_getItemID" getItemLabel="DutoanGXD.xla!cmb_getItemLabel" getItemCount="DutoanGXD.xla!cmb_itemCount" onChange="DutoanGXD.xla!cmb_onChange"/>
            <buttonGroup id="them">
              <button id="play" onAction="DutoanGXD.xla!mnPtHangMuc" imageMso="MacroPlay"/>
            </buttonGroup>
          </box>
          <box id="gbox13" boxStyle="horizontal">
            <buttonGroup id="bg2">
              <button id="qdgctxd" onAction="DutoanGXD.xla!mn2ptdg" imageMso="SheetInsert" getScreentip="DutoanGXD.xla!scdgct"/>
              <button id="qthcl" onAction="DutoanGXD.xla!mn2thclvt" imageMso="CreateTableUsingSharePointListsGallery" getScreentip="DutoanGXD.xla!scthcl"/>
              <button id="qgvtxd" onAction="DutoanGXD.xla!mn2gtvt" imageMso="ArrowStyleGallery" getScreentip="DutoanGXD.xla!scgtvt"/>
            </buttonGroup>
            <buttonGroup id="vt1">
              <button id="qgtvtxd" onAction="DutoanGXD.xla!mn2TinhVLHTXD" imageMso="V" getScreentip="DutoanGXD.xla!scgvlht"/>
              <button id="qgncxd" onAction="DutoanGXD.xla!mn2lnc" imageMso="N" getScreentip="DutoanGXD.xla!scgnc"/>
              <button id="qgcmxd" onAction="DutoanGXD.xla!mn2gcm" imageMso="M" getScreentip="DutoanGXD.xla!scgcm"/>
            </buttonGroup>
            <buttonGroup id="bg21">
              <button id="qdtdt" onAction="DutoanGXD.xla!mn2dtdt" imageMso="BusinessFormWizard" getScreentip="DutoanGXD.xla!scdtdt"/>
              <button id="qchencvxd" onAction="DutoanGXD.xla!mn2chencv" imageMso="C" getScreentip="DutoanGXD.xla!scchencv"/>
            </buttonGroup>
          </box>
        </group>
        <group id="ketnoi" label="3">
          <dynamicMenu id="mn3" size="large" getLabel="DutoanGXD.xla!label3" imageMso="FileCompactAndRepairDatabase" getContent="DutoanGXD.xla!menu3"/>
        </group>
        <group id="classicui" label="Thiết bị">
          <box id="boxtotal2" boxStyle="vertical">
            <box id="qbox221" boxStyle="horizontal">
              <comboBox id="Combo11" label="Hạng mục:" getItemID="DutoanGXD.xla!cmb_getItemID" getItemLabel="DutoanGXD.xla!cmb_getItemLabel1" getItemCount="DutoanGXD.xla!cmb_itemCount1" onChange="DutoanGXD.xla!cmb_onChange1"/>
              <buttonGroup id="chay1">
                <button id="play1" onAction="DutoanGXD.xla!mnPtHangMuctb" imageMso="MacroPlay"/>
              </buttonGroup>
            </box>
            <box id="qbox21" boxStyle="horizontal">
              <buttonGroup id="bg3">
                <button id="qdgctxd1" onAction="DutoanGXD.xla!mn3ptdg" imageMso="SheetInsert" getScreentip="DutoanGXD.xla!scdgct"/>
                <button id="qthcl1" onAction="DutoanGXD.xla!mn3thclvt" imageMso="CreateTableUsingSharePointListsGallery" getScreentip="DutoanGXD.xla!scthcl"/>
                <button id="qgvttb" onAction="DutoanGXD.xla!mn3gtvt" imageMso="ArrowStyleGallery" getScreentip="DutoanGXD.xla!scgtvt"/>
              </buttonGroup>
              <buttonGroup id="vttb">
                <button id="qgtvtxd1" onAction="DutoanGXD.xla!mn3TinhVLHTTB" imageMso="V" getScreentip="DutoanGXD.xla!scgvlht"/>
                <button id="qgnctb" onAction="DutoanGXD.xla!mn3lnc" imageMso="N" getScreentip="DutoanGXD.xla!scgnc"/>
                <button id="qgcmtb" onAction="DutoanGXD.xla!mn3gcm" imageMso="M" getScreentip="DutoanGXD.xla!scgcm"/>
              </buttonGroup>
              <buttonGroup id="bgp31">
                <button id="qdtdt1" onAction="DutoanGXD.xla!mn3dtdt" imageMso="BusinessFormWizard" getScreentip="DutoanGXD.xla!scdtdt"/>
                <button id="gchencvtb" onAction="DutoanGXD.xla!mn3chencv" imageMso="C" getScreentip="DutoanGXD.xla!scchencv"/>
              </buttonGroup>
            </box>
          </box>
        </group>
        <group id="tienich" label="4">
          <dynamicMenu id="mn4" size="large" getLabel="DutoanGXD.xla!label4" imageMso="ShowBcc" getContent="DutoanGXD.xla!menu4"/>
        </group>
        <group id="dulieu" label="5">
          <dynamicMenu id="mn5" size="large" getLabel="DutoanGXD.xla!label5" imageMso="DatabaseCopyDatabaseFile" getContent="DutoanGXD.xla!menu5"/>
        </group>
        <group id="trogiup" label="6">
          <dynamicMenu id="mn6" size="large" getLabel="DutoanGXD.xla!label6" imageMso="TentativeAcceptInvitation" getContent="DutoanGXD.xla!menu6"/>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731</vt:i4>
      </vt:variant>
    </vt:vector>
  </HeadingPairs>
  <TitlesOfParts>
    <vt:vector size="782" baseType="lpstr">
      <vt:lpstr>ML</vt:lpstr>
      <vt:lpstr>Ts</vt:lpstr>
      <vt:lpstr>Bia1</vt:lpstr>
      <vt:lpstr>TM</vt:lpstr>
      <vt:lpstr>PLthamtra</vt:lpstr>
      <vt:lpstr>Tong hop kinh phi</vt:lpstr>
      <vt:lpstr>TH Hang muc</vt:lpstr>
      <vt:lpstr>CP xay dung</vt:lpstr>
      <vt:lpstr>Dutoan XD</vt:lpstr>
      <vt:lpstr>Tkthep</vt:lpstr>
      <vt:lpstr>Don gia chi tiet</vt:lpstr>
      <vt:lpstr>VLSG XD</vt:lpstr>
      <vt:lpstr>Tong hop &amp; Chenh lech</vt:lpstr>
      <vt:lpstr>Gia vat lieu</vt:lpstr>
      <vt:lpstr>Gia vua</vt:lpstr>
      <vt:lpstr>Nhan cong</vt:lpstr>
      <vt:lpstr>Gia ca may</vt:lpstr>
      <vt:lpstr>NhienlieuXD</vt:lpstr>
      <vt:lpstr>Vật tư điều chỉnh xây dựng</vt:lpstr>
      <vt:lpstr>Số liệu điều chỉnh HĐ xây dựng</vt:lpstr>
      <vt:lpstr>Du thau</vt:lpstr>
      <vt:lpstr>VCLC XD</vt:lpstr>
      <vt:lpstr>Gia tri vat tu</vt:lpstr>
      <vt:lpstr>TDTC XD</vt:lpstr>
      <vt:lpstr>CP tu van</vt:lpstr>
      <vt:lpstr>Cp khac</vt:lpstr>
      <vt:lpstr>CP Du phong</vt:lpstr>
      <vt:lpstr>QD957</vt:lpstr>
      <vt:lpstr>Bia2</vt:lpstr>
      <vt:lpstr>TH CP thiet bi</vt:lpstr>
      <vt:lpstr>CP mua sam tbi</vt:lpstr>
      <vt:lpstr>CP dao tao</vt:lpstr>
      <vt:lpstr>Hang muc TB</vt:lpstr>
      <vt:lpstr>Lap dat</vt:lpstr>
      <vt:lpstr>Dutoan lap dat</vt:lpstr>
      <vt:lpstr>Don gia lap dat</vt:lpstr>
      <vt:lpstr>TH&amp;Chenh lech LD</vt:lpstr>
      <vt:lpstr>VLSG TB</vt:lpstr>
      <vt:lpstr>VL hien truong LD</vt:lpstr>
      <vt:lpstr>PLV lap dat</vt:lpstr>
      <vt:lpstr>Nhan cong LD</vt:lpstr>
      <vt:lpstr>Gia ca may LD</vt:lpstr>
      <vt:lpstr>NhienlieuTB</vt:lpstr>
      <vt:lpstr>Vật tư điều chỉnh thiết bị</vt:lpstr>
      <vt:lpstr>Số liệu điều chỉnh HĐ thiết bị</vt:lpstr>
      <vt:lpstr>Du thau LD</vt:lpstr>
      <vt:lpstr>VCLC TB</vt:lpstr>
      <vt:lpstr>GVT TB</vt:lpstr>
      <vt:lpstr>TDLD TB</vt:lpstr>
      <vt:lpstr>NhanCong</vt:lpstr>
      <vt:lpstr>Morong</vt:lpstr>
      <vt:lpstr>_Ni3</vt:lpstr>
      <vt:lpstr>_Ni35</vt:lpstr>
      <vt:lpstr>_Ni35dt</vt:lpstr>
      <vt:lpstr>_Ni3dt</vt:lpstr>
      <vt:lpstr>_Ni4</vt:lpstr>
      <vt:lpstr>_Ni45</vt:lpstr>
      <vt:lpstr>_Ni45dt</vt:lpstr>
      <vt:lpstr>_Ni4dt</vt:lpstr>
      <vt:lpstr>_Ni5</vt:lpstr>
      <vt:lpstr>_Ni55dt</vt:lpstr>
      <vt:lpstr>_Ni5dt</vt:lpstr>
      <vt:lpstr>_Ni6</vt:lpstr>
      <vt:lpstr>_Ni6dt</vt:lpstr>
      <vt:lpstr>_Ni7</vt:lpstr>
      <vt:lpstr>_Ni7dt</vt:lpstr>
      <vt:lpstr>_Nii2</vt:lpstr>
      <vt:lpstr>_Nii3</vt:lpstr>
      <vt:lpstr>_Nii35dt</vt:lpstr>
      <vt:lpstr>_Nii3dt</vt:lpstr>
      <vt:lpstr>_Nii4</vt:lpstr>
      <vt:lpstr>_Nii45dt</vt:lpstr>
      <vt:lpstr>_Nii4dt</vt:lpstr>
      <vt:lpstr>_Nii5</vt:lpstr>
      <vt:lpstr>_Nii55dt</vt:lpstr>
      <vt:lpstr>_Nii5dt</vt:lpstr>
      <vt:lpstr>_Nii6</vt:lpstr>
      <vt:lpstr>_Nii6dt</vt:lpstr>
      <vt:lpstr>_Nii7</vt:lpstr>
      <vt:lpstr>_Nii7dt</vt:lpstr>
      <vt:lpstr>_Niii2</vt:lpstr>
      <vt:lpstr>_Niii3</vt:lpstr>
      <vt:lpstr>_Niii35</vt:lpstr>
      <vt:lpstr>_Niii35dt</vt:lpstr>
      <vt:lpstr>_Niii3dt</vt:lpstr>
      <vt:lpstr>_Niii4</vt:lpstr>
      <vt:lpstr>_Niii45</vt:lpstr>
      <vt:lpstr>_Niii45dt</vt:lpstr>
      <vt:lpstr>_Niii4dt</vt:lpstr>
      <vt:lpstr>_Niii5</vt:lpstr>
      <vt:lpstr>_Niii55dt</vt:lpstr>
      <vt:lpstr>_Niii5dt</vt:lpstr>
      <vt:lpstr>_Niii6</vt:lpstr>
      <vt:lpstr>_Niii6dt</vt:lpstr>
      <vt:lpstr>_Niii7</vt:lpstr>
      <vt:lpstr>_Niii7dt</vt:lpstr>
      <vt:lpstr>bhang</vt:lpstr>
      <vt:lpstr>BTK</vt:lpstr>
      <vt:lpstr>cadem</vt:lpstr>
      <vt:lpstr>Capduong.1b</vt:lpstr>
      <vt:lpstr>Capduong.1s</vt:lpstr>
      <vt:lpstr>Capduong.1vb</vt:lpstr>
      <vt:lpstr>Capduong.2b</vt:lpstr>
      <vt:lpstr>Capduong.2s</vt:lpstr>
      <vt:lpstr>Capduong.2vb</vt:lpstr>
      <vt:lpstr>Capduong.3b</vt:lpstr>
      <vt:lpstr>Capduong.3s</vt:lpstr>
      <vt:lpstr>Capduong.3vb</vt:lpstr>
      <vt:lpstr>Capduong.4b</vt:lpstr>
      <vt:lpstr>Capduong.4s</vt:lpstr>
      <vt:lpstr>Capduong.4vb</vt:lpstr>
      <vt:lpstr>CCT</vt:lpstr>
      <vt:lpstr>CTTB_CNC</vt:lpstr>
      <vt:lpstr>CTTB_CPC</vt:lpstr>
      <vt:lpstr>CTTB_CPTL</vt:lpstr>
      <vt:lpstr>CTTB_DG</vt:lpstr>
      <vt:lpstr>CTTB_DM</vt:lpstr>
      <vt:lpstr>CTTB_DMHP</vt:lpstr>
      <vt:lpstr>CTTB_DV</vt:lpstr>
      <vt:lpstr>CTTB_G</vt:lpstr>
      <vt:lpstr>CTTB_GBC</vt:lpstr>
      <vt:lpstr>CTTB_GDP</vt:lpstr>
      <vt:lpstr>CTTB_GKS</vt:lpstr>
      <vt:lpstr>CTTB_GNT</vt:lpstr>
      <vt:lpstr>CTTB_GTGT</vt:lpstr>
      <vt:lpstr>CTTB_GXDNT</vt:lpstr>
      <vt:lpstr>CTTB_HPK</vt:lpstr>
      <vt:lpstr>CTTB_HS</vt:lpstr>
      <vt:lpstr>CTTB_HSTT</vt:lpstr>
      <vt:lpstr>CTTB_M</vt:lpstr>
      <vt:lpstr>CTTB_MSVT</vt:lpstr>
      <vt:lpstr>CTTB_MV</vt:lpstr>
      <vt:lpstr>CTTB_STT</vt:lpstr>
      <vt:lpstr>CTTB_TEN</vt:lpstr>
      <vt:lpstr>CTTB_THP</vt:lpstr>
      <vt:lpstr>CTTB_THPK</vt:lpstr>
      <vt:lpstr>CTTB_TT</vt:lpstr>
      <vt:lpstr>CTTB_TTK</vt:lpstr>
      <vt:lpstr>CTXD_CNC</vt:lpstr>
      <vt:lpstr>CTXD_CPC</vt:lpstr>
      <vt:lpstr>CTXD_CPTL</vt:lpstr>
      <vt:lpstr>CTXD_DG</vt:lpstr>
      <vt:lpstr>CTXD_DM</vt:lpstr>
      <vt:lpstr>CTXD_DMHP</vt:lpstr>
      <vt:lpstr>CTXD_DV</vt:lpstr>
      <vt:lpstr>CTXD_G</vt:lpstr>
      <vt:lpstr>CTXD_GBC</vt:lpstr>
      <vt:lpstr>CTXD_GDP</vt:lpstr>
      <vt:lpstr>CTXD_GKS</vt:lpstr>
      <vt:lpstr>CTXD_GNT</vt:lpstr>
      <vt:lpstr>CTXD_GTGT</vt:lpstr>
      <vt:lpstr>CTXD_GXDNT</vt:lpstr>
      <vt:lpstr>CTXD_HPK</vt:lpstr>
      <vt:lpstr>CTXD_HS</vt:lpstr>
      <vt:lpstr>CTXD_HSTT</vt:lpstr>
      <vt:lpstr>CTXD_M</vt:lpstr>
      <vt:lpstr>CTXD_MSVT</vt:lpstr>
      <vt:lpstr>CTXD_MV</vt:lpstr>
      <vt:lpstr>CTXD_STT</vt:lpstr>
      <vt:lpstr>CTXD_TEN</vt:lpstr>
      <vt:lpstr>CTXD_THP</vt:lpstr>
      <vt:lpstr>CTXD_THPK</vt:lpstr>
      <vt:lpstr>CTXD_TT</vt:lpstr>
      <vt:lpstr>CTXD_TTK</vt:lpstr>
      <vt:lpstr>dacbiet</vt:lpstr>
      <vt:lpstr>'Số liệu điều chỉnh HĐ thiết bị'!DCGHDTB_HSCD</vt:lpstr>
      <vt:lpstr>'Số liệu điều chỉnh HĐ thiết bị'!DCGHDTB_STT</vt:lpstr>
      <vt:lpstr>'Số liệu điều chỉnh HĐ thiết bị'!DCGHDTB_TTM</vt:lpstr>
      <vt:lpstr>'Số liệu điều chỉnh HĐ thiết bị'!DCGHDTB_TTNC</vt:lpstr>
      <vt:lpstr>'Số liệu điều chỉnh HĐ thiết bị'!DCGHDTB_TTVL</vt:lpstr>
      <vt:lpstr>DCGHDXD_HSCD</vt:lpstr>
      <vt:lpstr>DCGHDXD_STT</vt:lpstr>
      <vt:lpstr>DCGHDXD_TTM</vt:lpstr>
      <vt:lpstr>DCGHDXD_TTNC</vt:lpstr>
      <vt:lpstr>DCGHDXD_TTVL</vt:lpstr>
      <vt:lpstr>dien</vt:lpstr>
      <vt:lpstr>diezel</vt:lpstr>
      <vt:lpstr>dochai</vt:lpstr>
      <vt:lpstr>DphoM2Bung.1b</vt:lpstr>
      <vt:lpstr>DphoM2Bung.2b</vt:lpstr>
      <vt:lpstr>DphoM2Bung.3b</vt:lpstr>
      <vt:lpstr>DphoM2Bung.4b</vt:lpstr>
      <vt:lpstr>DphoMtr.11s</vt:lpstr>
      <vt:lpstr>DphoMtr.12s</vt:lpstr>
      <vt:lpstr>DphoMtr.21s</vt:lpstr>
      <vt:lpstr>DphoMtr.22s</vt:lpstr>
      <vt:lpstr>DphoMtr.31s</vt:lpstr>
      <vt:lpstr>DphoMtr.32s</vt:lpstr>
      <vt:lpstr>DphoMtr.41s</vt:lpstr>
      <vt:lpstr>DphoMtr.42s</vt:lpstr>
      <vt:lpstr>DTDTTB_CPC</vt:lpstr>
      <vt:lpstr>DTDTTB_CPTT</vt:lpstr>
      <vt:lpstr>DTDTTB_DG</vt:lpstr>
      <vt:lpstr>DTDTTB_DV</vt:lpstr>
      <vt:lpstr>DTDTTB_G</vt:lpstr>
      <vt:lpstr>DTDTTB_GTGT</vt:lpstr>
      <vt:lpstr>DTDTTB_KL</vt:lpstr>
      <vt:lpstr>DTDTTB_M</vt:lpstr>
      <vt:lpstr>DTDTTB_MH</vt:lpstr>
      <vt:lpstr>DTDTTB_NC</vt:lpstr>
      <vt:lpstr>DTDTTB_NT</vt:lpstr>
      <vt:lpstr>DTDTTB_ST</vt:lpstr>
      <vt:lpstr>DTDTTB_STT</vt:lpstr>
      <vt:lpstr>DTDTTB_TENCV</vt:lpstr>
      <vt:lpstr>DTDTTB_TL</vt:lpstr>
      <vt:lpstr>DTDTTB_TT</vt:lpstr>
      <vt:lpstr>DTDTTB_TTK</vt:lpstr>
      <vt:lpstr>DTDTTB_VL</vt:lpstr>
      <vt:lpstr>DTDTTB_VLP</vt:lpstr>
      <vt:lpstr>DTDTXD_CPC</vt:lpstr>
      <vt:lpstr>DTDTXD_CPTT</vt:lpstr>
      <vt:lpstr>DTDTXD_DG</vt:lpstr>
      <vt:lpstr>DTDTXD_DV</vt:lpstr>
      <vt:lpstr>DTDTXD_G</vt:lpstr>
      <vt:lpstr>DTDTXD_GTGT</vt:lpstr>
      <vt:lpstr>DTDTXD_KL</vt:lpstr>
      <vt:lpstr>DTDTXD_M</vt:lpstr>
      <vt:lpstr>DTDTXD_MH</vt:lpstr>
      <vt:lpstr>DTDTXD_NC</vt:lpstr>
      <vt:lpstr>DTDTXD_NT</vt:lpstr>
      <vt:lpstr>DTDTXD_ST</vt:lpstr>
      <vt:lpstr>DTDTXD_STT</vt:lpstr>
      <vt:lpstr>DTDTXD_TENCV</vt:lpstr>
      <vt:lpstr>DTDTXD_TL</vt:lpstr>
      <vt:lpstr>DTDTXD_TT</vt:lpstr>
      <vt:lpstr>DTDTXD_TTK</vt:lpstr>
      <vt:lpstr>DTDTXD_VL</vt:lpstr>
      <vt:lpstr>DTDTXD_VLP</vt:lpstr>
      <vt:lpstr>DtrCuocPhun.1b</vt:lpstr>
      <vt:lpstr>DtrCuocPhun.2b</vt:lpstr>
      <vt:lpstr>DtrCuocPhun.3b</vt:lpstr>
      <vt:lpstr>DtrCuocPhun.4b</vt:lpstr>
      <vt:lpstr>DtrHutCuoc300.1s</vt:lpstr>
      <vt:lpstr>DtrHutCuoc300.2s</vt:lpstr>
      <vt:lpstr>DTTB_BP</vt:lpstr>
      <vt:lpstr>DTTB_CAO</vt:lpstr>
      <vt:lpstr>DTTB_DAI</vt:lpstr>
      <vt:lpstr>DTTB_DM</vt:lpstr>
      <vt:lpstr>DTTB_DV</vt:lpstr>
      <vt:lpstr>DTTB_GHC</vt:lpstr>
      <vt:lpstr>DTTB_HS</vt:lpstr>
      <vt:lpstr>DTTB_KL</vt:lpstr>
      <vt:lpstr>DTTB_KLBP</vt:lpstr>
      <vt:lpstr>DTTB_KLTB</vt:lpstr>
      <vt:lpstr>DTTB_M</vt:lpstr>
      <vt:lpstr>DTTB_MCT</vt:lpstr>
      <vt:lpstr>DTTB_MG</vt:lpstr>
      <vt:lpstr>DTTB_MH</vt:lpstr>
      <vt:lpstr>DTTB_MV</vt:lpstr>
      <vt:lpstr>DTTB_NC</vt:lpstr>
      <vt:lpstr>DTTB_NCCT</vt:lpstr>
      <vt:lpstr>DTTB_NCG</vt:lpstr>
      <vt:lpstr>DTTB_RONG</vt:lpstr>
      <vt:lpstr>DTTB_STT</vt:lpstr>
      <vt:lpstr>DTTB_TENCV</vt:lpstr>
      <vt:lpstr>DTTB_VL</vt:lpstr>
      <vt:lpstr>DTTB_VLCT</vt:lpstr>
      <vt:lpstr>DTTB_VLG</vt:lpstr>
      <vt:lpstr>DTTB_VLP</vt:lpstr>
      <vt:lpstr>DTTB_VLPCT</vt:lpstr>
      <vt:lpstr>DTTB_VLPG</vt:lpstr>
      <vt:lpstr>DTXD_BP</vt:lpstr>
      <vt:lpstr>DTXD_CAO</vt:lpstr>
      <vt:lpstr>DTXD_DAI</vt:lpstr>
      <vt:lpstr>DTXD_DM</vt:lpstr>
      <vt:lpstr>DTXD_DV</vt:lpstr>
      <vt:lpstr>DTXD_GHC</vt:lpstr>
      <vt:lpstr>DTXD_HS</vt:lpstr>
      <vt:lpstr>DTXD_KL</vt:lpstr>
      <vt:lpstr>DTXD_KLBP</vt:lpstr>
      <vt:lpstr>DTXD_KLTB</vt:lpstr>
      <vt:lpstr>DTXD_M</vt:lpstr>
      <vt:lpstr>DTXD_MCT</vt:lpstr>
      <vt:lpstr>DTXD_MG</vt:lpstr>
      <vt:lpstr>DTXD_MH</vt:lpstr>
      <vt:lpstr>DTXD_MV</vt:lpstr>
      <vt:lpstr>DTXD_NC</vt:lpstr>
      <vt:lpstr>DTXD_NCCT</vt:lpstr>
      <vt:lpstr>DTXD_NCG</vt:lpstr>
      <vt:lpstr>DTXD_RONG</vt:lpstr>
      <vt:lpstr>DTXD_STT</vt:lpstr>
      <vt:lpstr>DTXD_TENCV</vt:lpstr>
      <vt:lpstr>DTXD_VL</vt:lpstr>
      <vt:lpstr>DTXD_VLCT</vt:lpstr>
      <vt:lpstr>DTXD_VLG</vt:lpstr>
      <vt:lpstr>DTXD_VLP</vt:lpstr>
      <vt:lpstr>DTXD_VLPCT</vt:lpstr>
      <vt:lpstr>DTXD_VLPG</vt:lpstr>
      <vt:lpstr>GCMTB_CA</vt:lpstr>
      <vt:lpstr>GCMTB_CBT</vt:lpstr>
      <vt:lpstr>GCMTB_CPK</vt:lpstr>
      <vt:lpstr>GCMTB_CPKG</vt:lpstr>
      <vt:lpstr>GCMTB_CPKH</vt:lpstr>
      <vt:lpstr>GCMTB_CPKHG</vt:lpstr>
      <vt:lpstr>GCMTB_CPNL</vt:lpstr>
      <vt:lpstr>GCMTB_CPNLDC</vt:lpstr>
      <vt:lpstr>GCMTB_CPNLG</vt:lpstr>
      <vt:lpstr>GCMTB_CPSC</vt:lpstr>
      <vt:lpstr>GCMTB_CPSCG</vt:lpstr>
      <vt:lpstr>GCMTB_CPTL</vt:lpstr>
      <vt:lpstr>GCMTB_CPTLDC</vt:lpstr>
      <vt:lpstr>GCMTB_CPTLG</vt:lpstr>
      <vt:lpstr>GCMTB_DAUDO</vt:lpstr>
      <vt:lpstr>GCMTB_DAUHOA</vt:lpstr>
      <vt:lpstr>GCMTB_DIEN</vt:lpstr>
      <vt:lpstr>GCMTB_DIEZEL</vt:lpstr>
      <vt:lpstr>GCMTB_DMK</vt:lpstr>
      <vt:lpstr>GCMTB_DMKH</vt:lpstr>
      <vt:lpstr>GCMTB_DMSC</vt:lpstr>
      <vt:lpstr>GCMTB_DMTH</vt:lpstr>
      <vt:lpstr>GCMTB_GCM</vt:lpstr>
      <vt:lpstr>GCMTB_GCMDC</vt:lpstr>
      <vt:lpstr>GCMTB_GCMG</vt:lpstr>
      <vt:lpstr>GCMTB_HSDCNG</vt:lpstr>
      <vt:lpstr>GCMTB_HSDCNL</vt:lpstr>
      <vt:lpstr>GCMTB_HSDCTL</vt:lpstr>
      <vt:lpstr>GCMTB_HSP</vt:lpstr>
      <vt:lpstr>GCMTB_HSTH</vt:lpstr>
      <vt:lpstr>GCMTB_MADUT</vt:lpstr>
      <vt:lpstr>GCMTB_MH</vt:lpstr>
      <vt:lpstr>GCMTB_NG</vt:lpstr>
      <vt:lpstr>GCMTB_NGDC</vt:lpstr>
      <vt:lpstr>GCMTB_NGG</vt:lpstr>
      <vt:lpstr>GCMTB_STT</vt:lpstr>
      <vt:lpstr>GCMTB_TENM</vt:lpstr>
      <vt:lpstr>GCMTB_THNL</vt:lpstr>
      <vt:lpstr>GCMTB_XANG</vt:lpstr>
      <vt:lpstr>GCMXD_CA</vt:lpstr>
      <vt:lpstr>GCMXD_CBT</vt:lpstr>
      <vt:lpstr>GCMXD_CPK</vt:lpstr>
      <vt:lpstr>GCMXD_CPKG</vt:lpstr>
      <vt:lpstr>GCMXD_CPKH</vt:lpstr>
      <vt:lpstr>GCMXD_CPKHG</vt:lpstr>
      <vt:lpstr>GCMXD_CPNL</vt:lpstr>
      <vt:lpstr>GCMXD_CPNLDC</vt:lpstr>
      <vt:lpstr>GCMXD_CPNLG</vt:lpstr>
      <vt:lpstr>GCMXD_CPSC</vt:lpstr>
      <vt:lpstr>GCMXD_CPSCG</vt:lpstr>
      <vt:lpstr>GCMXD_CPTL</vt:lpstr>
      <vt:lpstr>GCMXD_CPTLDC</vt:lpstr>
      <vt:lpstr>GCMXD_CPTLG</vt:lpstr>
      <vt:lpstr>GCMXD_DAUDO</vt:lpstr>
      <vt:lpstr>GCMXD_DAUHOA</vt:lpstr>
      <vt:lpstr>GCMXD_DIEN</vt:lpstr>
      <vt:lpstr>GCMXD_DIEZEL</vt:lpstr>
      <vt:lpstr>GCMXD_DMK</vt:lpstr>
      <vt:lpstr>GCMXD_DMKH</vt:lpstr>
      <vt:lpstr>GCMXD_DMSC</vt:lpstr>
      <vt:lpstr>GCMXD_DMTH</vt:lpstr>
      <vt:lpstr>GCMXD_GCM</vt:lpstr>
      <vt:lpstr>GCMXD_GCMDC</vt:lpstr>
      <vt:lpstr>GCMXD_GCMG</vt:lpstr>
      <vt:lpstr>GCMXD_HSDCNG</vt:lpstr>
      <vt:lpstr>GCMXD_HSDCNL</vt:lpstr>
      <vt:lpstr>GCMXD_HSDCTL</vt:lpstr>
      <vt:lpstr>GCMXD_HSP</vt:lpstr>
      <vt:lpstr>GCMXD_HSTH</vt:lpstr>
      <vt:lpstr>GCMXD_MADUT</vt:lpstr>
      <vt:lpstr>GCMXD_MH</vt:lpstr>
      <vt:lpstr>GCMXD_NG</vt:lpstr>
      <vt:lpstr>GCMXD_NGDC</vt:lpstr>
      <vt:lpstr>GCMXD_NGG</vt:lpstr>
      <vt:lpstr>GCMXD_STT</vt:lpstr>
      <vt:lpstr>GCMXD_TENM</vt:lpstr>
      <vt:lpstr>GCMXD_THNL</vt:lpstr>
      <vt:lpstr>GCMXD_XANG</vt:lpstr>
      <vt:lpstr>GLD_CT</vt:lpstr>
      <vt:lpstr>GLD_GT1</vt:lpstr>
      <vt:lpstr>GLD_HS1</vt:lpstr>
      <vt:lpstr>GLD_HS2</vt:lpstr>
      <vt:lpstr>GLD_KH</vt:lpstr>
      <vt:lpstr>GLD_KM</vt:lpstr>
      <vt:lpstr>GLD_STT</vt:lpstr>
      <vt:lpstr>GMTB_cot19</vt:lpstr>
      <vt:lpstr>GMTB_cot33</vt:lpstr>
      <vt:lpstr>GMXD_cot18</vt:lpstr>
      <vt:lpstr>GMXD_cot33</vt:lpstr>
      <vt:lpstr>'Vật tư điều chỉnh thiết bị'!GTRVLTB_DG</vt:lpstr>
      <vt:lpstr>'Vật tư điều chỉnh thiết bị'!GTRVLTB_DV</vt:lpstr>
      <vt:lpstr>'Vật tư điều chỉnh thiết bị'!GTRVLTB_KL</vt:lpstr>
      <vt:lpstr>'Vật tư điều chỉnh thiết bị'!GTRVLTB_MVT</vt:lpstr>
      <vt:lpstr>'Vật tư điều chỉnh thiết bị'!GTRVLTB_STT</vt:lpstr>
      <vt:lpstr>'Vật tư điều chỉnh thiết bị'!GTRVLTB_TEN</vt:lpstr>
      <vt:lpstr>'Vật tư điều chỉnh thiết bị'!GTRVLTB_TLE</vt:lpstr>
      <vt:lpstr>'Vật tư điều chỉnh thiết bị'!GTRVLTB_TT</vt:lpstr>
      <vt:lpstr>'Vật tư điều chỉnh thiết bị'!GTRVLTB_TTRN</vt:lpstr>
      <vt:lpstr>GTRVLXD_DG</vt:lpstr>
      <vt:lpstr>GTRVLXD_DV</vt:lpstr>
      <vt:lpstr>GTRVLXD_KL</vt:lpstr>
      <vt:lpstr>GTRVLXD_KLK</vt:lpstr>
      <vt:lpstr>GTRVLXD_MVT</vt:lpstr>
      <vt:lpstr>GTRVLXD_STT</vt:lpstr>
      <vt:lpstr>GTRVLXD_TEN</vt:lpstr>
      <vt:lpstr>GTRVLXD_TLE</vt:lpstr>
      <vt:lpstr>GTRVLXD_TT</vt:lpstr>
      <vt:lpstr>GTRVLXD_TTK</vt:lpstr>
      <vt:lpstr>GTRVLXD_TTRN</vt:lpstr>
      <vt:lpstr>GVTTB_DG</vt:lpstr>
      <vt:lpstr>GVTTB_DV</vt:lpstr>
      <vt:lpstr>GVTTB_KL</vt:lpstr>
      <vt:lpstr>GVTTB_KLK</vt:lpstr>
      <vt:lpstr>GVTTB_MH</vt:lpstr>
      <vt:lpstr>GVTTB_STT</vt:lpstr>
      <vt:lpstr>GVTTB_TENVT</vt:lpstr>
      <vt:lpstr>GVTTB_TT</vt:lpstr>
      <vt:lpstr>GVTTB_TTK</vt:lpstr>
      <vt:lpstr>GVTXD_DG</vt:lpstr>
      <vt:lpstr>GVTXD_DV</vt:lpstr>
      <vt:lpstr>GVTXD_KL</vt:lpstr>
      <vt:lpstr>GVTXD_KLK</vt:lpstr>
      <vt:lpstr>GVTXD_MH</vt:lpstr>
      <vt:lpstr>GVTXD_STT</vt:lpstr>
      <vt:lpstr>GVTXD_TENVT</vt:lpstr>
      <vt:lpstr>GVTXD_TT</vt:lpstr>
      <vt:lpstr>GVTXD_TTK</vt:lpstr>
      <vt:lpstr>GXD_CT</vt:lpstr>
      <vt:lpstr>GXD_GT1</vt:lpstr>
      <vt:lpstr>GXD_HS1</vt:lpstr>
      <vt:lpstr>GXD_HS2</vt:lpstr>
      <vt:lpstr>GXD_KH</vt:lpstr>
      <vt:lpstr>GXD_KM</vt:lpstr>
      <vt:lpstr>GXD_STT</vt:lpstr>
      <vt:lpstr>iCt_End</vt:lpstr>
      <vt:lpstr>khoantructiep</vt:lpstr>
      <vt:lpstr>KhongOndinhSX</vt:lpstr>
      <vt:lpstr>khuvuc</vt:lpstr>
      <vt:lpstr>LCT</vt:lpstr>
      <vt:lpstr>lduong</vt:lpstr>
      <vt:lpstr>LTTC</vt:lpstr>
      <vt:lpstr>LTTV</vt:lpstr>
      <vt:lpstr>luongphu</vt:lpstr>
      <vt:lpstr>luudong</vt:lpstr>
      <vt:lpstr>Lx.1165</vt:lpstr>
      <vt:lpstr>Lx.125</vt:lpstr>
      <vt:lpstr>Lx.135</vt:lpstr>
      <vt:lpstr>Lx.140</vt:lpstr>
      <vt:lpstr>Lx.150</vt:lpstr>
      <vt:lpstr>Lx.175</vt:lpstr>
      <vt:lpstr>Lx.2165</vt:lpstr>
      <vt:lpstr>Lx.225</vt:lpstr>
      <vt:lpstr>Lx.235</vt:lpstr>
      <vt:lpstr>Lx.240</vt:lpstr>
      <vt:lpstr>Lx.250</vt:lpstr>
      <vt:lpstr>Lx.275</vt:lpstr>
      <vt:lpstr>Lx.3165</vt:lpstr>
      <vt:lpstr>Lx.325</vt:lpstr>
      <vt:lpstr>Lx.335</vt:lpstr>
      <vt:lpstr>Lx.340</vt:lpstr>
      <vt:lpstr>Lx.350</vt:lpstr>
      <vt:lpstr>Lx.375</vt:lpstr>
      <vt:lpstr>Lx.4165</vt:lpstr>
      <vt:lpstr>Lx.425</vt:lpstr>
      <vt:lpstr>Lx.435</vt:lpstr>
      <vt:lpstr>Lx.440</vt:lpstr>
      <vt:lpstr>Lx.450</vt:lpstr>
      <vt:lpstr>Lx.475</vt:lpstr>
      <vt:lpstr>M2KtvCuoc1.1s</vt:lpstr>
      <vt:lpstr>M2KtvCuoc1.2s</vt:lpstr>
      <vt:lpstr>M2KtvCuoc1.3s</vt:lpstr>
      <vt:lpstr>M2KtvCuoc1.4s</vt:lpstr>
      <vt:lpstr>M2KtvCuoc1.5s</vt:lpstr>
      <vt:lpstr>M2KtvCuoc1.6s</vt:lpstr>
      <vt:lpstr>M3KtvCuoc2.1s</vt:lpstr>
      <vt:lpstr>M3KtvCuoc2.2s</vt:lpstr>
      <vt:lpstr>M3KtvCuoc2.3s</vt:lpstr>
      <vt:lpstr>M3KtvCuoc2.4s</vt:lpstr>
      <vt:lpstr>M3KtvCuoc2.5s</vt:lpstr>
      <vt:lpstr>M3KtvCuoc2.6s</vt:lpstr>
      <vt:lpstr>M4KtvCuoc3.1s</vt:lpstr>
      <vt:lpstr>M4KtvCuoc3.2s</vt:lpstr>
      <vt:lpstr>mazut</vt:lpstr>
      <vt:lpstr>MCKhi.1b</vt:lpstr>
      <vt:lpstr>MCKhi.2b</vt:lpstr>
      <vt:lpstr>MCKhi.3b</vt:lpstr>
      <vt:lpstr>MCKhi.4b</vt:lpstr>
      <vt:lpstr>Mtr.1s</vt:lpstr>
      <vt:lpstr>Mtr.2s</vt:lpstr>
      <vt:lpstr>Mtr.3s</vt:lpstr>
      <vt:lpstr>Mtr.4s</vt:lpstr>
      <vt:lpstr>Mtr.5s</vt:lpstr>
      <vt:lpstr>Mtr.6s</vt:lpstr>
      <vt:lpstr>MtrTtrCuocPhun.1b</vt:lpstr>
      <vt:lpstr>MtrTtrCuocPhun.2b</vt:lpstr>
      <vt:lpstr>MtrTtrCuocPhun.3b</vt:lpstr>
      <vt:lpstr>MtrTtrCuocPhun.4b</vt:lpstr>
      <vt:lpstr>N104TMDvb</vt:lpstr>
      <vt:lpstr>N104TMDvs</vt:lpstr>
      <vt:lpstr>N104TTvb</vt:lpstr>
      <vt:lpstr>N104TTvs</vt:lpstr>
      <vt:lpstr>N204TMDvb</vt:lpstr>
      <vt:lpstr>N204TMDvs</vt:lpstr>
      <vt:lpstr>N204TTvb</vt:lpstr>
      <vt:lpstr>N204TTvs</vt:lpstr>
      <vt:lpstr>N28108ks</vt:lpstr>
      <vt:lpstr>N28208ks</vt:lpstr>
      <vt:lpstr>N28308ks</vt:lpstr>
      <vt:lpstr>N28408ks</vt:lpstr>
      <vt:lpstr>N28458ks</vt:lpstr>
      <vt:lpstr>N28508ks</vt:lpstr>
      <vt:lpstr>N28608ks</vt:lpstr>
      <vt:lpstr>N28708ks</vt:lpstr>
      <vt:lpstr>N28808ks</vt:lpstr>
      <vt:lpstr>N304TMDvb</vt:lpstr>
      <vt:lpstr>N304TMDvs</vt:lpstr>
      <vt:lpstr>N304TTvb</vt:lpstr>
      <vt:lpstr>N304TTvs</vt:lpstr>
      <vt:lpstr>N404TMDvb</vt:lpstr>
      <vt:lpstr>N404TMDvs</vt:lpstr>
      <vt:lpstr>N404TTvb</vt:lpstr>
      <vt:lpstr>N404TTvs</vt:lpstr>
      <vt:lpstr>NCTB_CB</vt:lpstr>
      <vt:lpstr>NCTB_CBL</vt:lpstr>
      <vt:lpstr>NCTB_CD</vt:lpstr>
      <vt:lpstr>NCTB_DB</vt:lpstr>
      <vt:lpstr>NCTB_HSL</vt:lpstr>
      <vt:lpstr>NCTB_KSX</vt:lpstr>
      <vt:lpstr>NCTB_KTT</vt:lpstr>
      <vt:lpstr>NCTB_LNC</vt:lpstr>
      <vt:lpstr>NCTB_LP</vt:lpstr>
      <vt:lpstr>NCTB_MH</vt:lpstr>
      <vt:lpstr>NCTB_PC</vt:lpstr>
      <vt:lpstr>NCTB_STT</vt:lpstr>
      <vt:lpstr>NCTB_T</vt:lpstr>
      <vt:lpstr>NCTB_TH</vt:lpstr>
      <vt:lpstr>NCXD_CB</vt:lpstr>
      <vt:lpstr>NCXD_CBL</vt:lpstr>
      <vt:lpstr>NCXD_CD</vt:lpstr>
      <vt:lpstr>NCXD_DB</vt:lpstr>
      <vt:lpstr>NCXD_HSL</vt:lpstr>
      <vt:lpstr>NCXD_KSX</vt:lpstr>
      <vt:lpstr>NCXD_KTT</vt:lpstr>
      <vt:lpstr>NCXD_LNC</vt:lpstr>
      <vt:lpstr>NCXD_LP</vt:lpstr>
      <vt:lpstr>NCXD_MH</vt:lpstr>
      <vt:lpstr>NCXD_PC</vt:lpstr>
      <vt:lpstr>NCXD_STT</vt:lpstr>
      <vt:lpstr>NCXD_T</vt:lpstr>
      <vt:lpstr>NCXD_TH</vt:lpstr>
      <vt:lpstr>Nvb104b</vt:lpstr>
      <vt:lpstr>Nvb204b</vt:lpstr>
      <vt:lpstr>Nvb274b</vt:lpstr>
      <vt:lpstr>Nvb304b</vt:lpstr>
      <vt:lpstr>Nvb404b</vt:lpstr>
      <vt:lpstr>Nvs104s</vt:lpstr>
      <vt:lpstr>Nvs204s</vt:lpstr>
      <vt:lpstr>Nvs274s</vt:lpstr>
      <vt:lpstr>Nvs304s</vt:lpstr>
      <vt:lpstr>Nvs404s</vt:lpstr>
      <vt:lpstr>Phucvu.1b</vt:lpstr>
      <vt:lpstr>Phucvu.1s</vt:lpstr>
      <vt:lpstr>Phucvu.2b</vt:lpstr>
      <vt:lpstr>Phucvu.2s</vt:lpstr>
      <vt:lpstr>Phucvu.3b</vt:lpstr>
      <vt:lpstr>Phucvu.3s</vt:lpstr>
      <vt:lpstr>Phucvu.4b</vt:lpstr>
      <vt:lpstr>Phucvu.4s</vt:lpstr>
      <vt:lpstr>PLVTB_DG</vt:lpstr>
      <vt:lpstr>PLVTB_DM</vt:lpstr>
      <vt:lpstr>PLVTB_DV</vt:lpstr>
      <vt:lpstr>PLVTB_LVT</vt:lpstr>
      <vt:lpstr>PLVTB_MV</vt:lpstr>
      <vt:lpstr>PLVTB_MVT</vt:lpstr>
      <vt:lpstr>PLVTB_STT</vt:lpstr>
      <vt:lpstr>PLVTB_TT</vt:lpstr>
      <vt:lpstr>PLVXD_DG</vt:lpstr>
      <vt:lpstr>PLVXD_DM</vt:lpstr>
      <vt:lpstr>PLVXD_DV</vt:lpstr>
      <vt:lpstr>PLVXD_LVT</vt:lpstr>
      <vt:lpstr>PLVXD_MV</vt:lpstr>
      <vt:lpstr>PLVXD_MVT</vt:lpstr>
      <vt:lpstr>PLVXD_STT</vt:lpstr>
      <vt:lpstr>PLVXD_TT</vt:lpstr>
      <vt:lpstr>'Cp khac'!Print_Area</vt:lpstr>
      <vt:lpstr>'CP mua sam tbi'!Print_Area</vt:lpstr>
      <vt:lpstr>'CP tu van'!Print_Area</vt:lpstr>
      <vt:lpstr>'CP xay dung'!Print_Area</vt:lpstr>
      <vt:lpstr>'Dutoan lap dat'!Print_Area</vt:lpstr>
      <vt:lpstr>'Dutoan XD'!Print_Area</vt:lpstr>
      <vt:lpstr>'Lap dat'!Print_Area</vt:lpstr>
      <vt:lpstr>'QD957'!Print_Area</vt:lpstr>
      <vt:lpstr>'TH CP thiet bi'!Print_Area</vt:lpstr>
      <vt:lpstr>TM!Print_Area</vt:lpstr>
      <vt:lpstr>'Tong hop kinh phi'!Print_Area</vt:lpstr>
      <vt:lpstr>Ts!Print_Area</vt:lpstr>
      <vt:lpstr>'CP dao tao'!Print_Titles</vt:lpstr>
      <vt:lpstr>'CP mua sam tbi'!Print_Titles</vt:lpstr>
      <vt:lpstr>'Don gia chi tiet'!Print_Titles</vt:lpstr>
      <vt:lpstr>'Don gia lap dat'!Print_Titles</vt:lpstr>
      <vt:lpstr>'Du thau'!Print_Titles</vt:lpstr>
      <vt:lpstr>'Du thau LD'!Print_Titles</vt:lpstr>
      <vt:lpstr>'Dutoan lap dat'!Print_Titles</vt:lpstr>
      <vt:lpstr>'Dutoan XD'!Print_Titles</vt:lpstr>
      <vt:lpstr>'Gia ca may'!Print_Titles</vt:lpstr>
      <vt:lpstr>'Gia ca may LD'!Print_Titles</vt:lpstr>
      <vt:lpstr>'Gia vat lieu'!Print_Titles</vt:lpstr>
      <vt:lpstr>'Gia vua'!Print_Titles</vt:lpstr>
      <vt:lpstr>'Lap dat'!Print_Titles</vt:lpstr>
      <vt:lpstr>'Nhan cong'!Print_Titles</vt:lpstr>
      <vt:lpstr>'Nhan cong LD'!Print_Titles</vt:lpstr>
      <vt:lpstr>NhanCong!Print_Titles</vt:lpstr>
      <vt:lpstr>NhienlieuTB!Print_Titles</vt:lpstr>
      <vt:lpstr>NhienlieuXD!Print_Titles</vt:lpstr>
      <vt:lpstr>'TH&amp;Chenh lech LD'!Print_Titles</vt:lpstr>
      <vt:lpstr>'Tong hop &amp; Chenh lech'!Print_Titles</vt:lpstr>
      <vt:lpstr>'VL hien truong LD'!Print_Titles</vt:lpstr>
      <vt:lpstr>'VLSG TB'!Print_Titles</vt:lpstr>
      <vt:lpstr>'VLSG XD'!Print_Titles</vt:lpstr>
      <vt:lpstr>QTtrTTtr.1b</vt:lpstr>
      <vt:lpstr>QTtrTTtr.1s</vt:lpstr>
      <vt:lpstr>QTtrTTtr.2b</vt:lpstr>
      <vt:lpstr>QTtrTTtr.2s</vt:lpstr>
      <vt:lpstr>QTtrTTtr.3b</vt:lpstr>
      <vt:lpstr>QTtrTTtr.4b</vt:lpstr>
      <vt:lpstr>TBTT</vt:lpstr>
      <vt:lpstr>Tholan.104</vt:lpstr>
      <vt:lpstr>Tholan.204</vt:lpstr>
      <vt:lpstr>Tholan.304</vt:lpstr>
      <vt:lpstr>Tholan.31</vt:lpstr>
      <vt:lpstr>Tholan.404</vt:lpstr>
      <vt:lpstr>TholanC1.12</vt:lpstr>
      <vt:lpstr>TholanC1.22</vt:lpstr>
      <vt:lpstr>THTB_CL</vt:lpstr>
      <vt:lpstr>THTB_CLK</vt:lpstr>
      <vt:lpstr>THTB_DV</vt:lpstr>
      <vt:lpstr>THTB_GG</vt:lpstr>
      <vt:lpstr>THTB_GHT</vt:lpstr>
      <vt:lpstr>THTB_KL</vt:lpstr>
      <vt:lpstr>THTB_KLK</vt:lpstr>
      <vt:lpstr>THTB_MSVT</vt:lpstr>
      <vt:lpstr>THTB_STT</vt:lpstr>
      <vt:lpstr>THTB_TEN</vt:lpstr>
      <vt:lpstr>THTB_TT</vt:lpstr>
      <vt:lpstr>thuhut</vt:lpstr>
      <vt:lpstr>ThuyThu.14ds</vt:lpstr>
      <vt:lpstr>ThuyThu.14ns</vt:lpstr>
      <vt:lpstr>ThuyThu.1b</vt:lpstr>
      <vt:lpstr>ThuyThu.24ds</vt:lpstr>
      <vt:lpstr>ThuyThu.24ns</vt:lpstr>
      <vt:lpstr>ThuyThu.2b</vt:lpstr>
      <vt:lpstr>ThuyThu.34ds</vt:lpstr>
      <vt:lpstr>ThuyThu.34ns</vt:lpstr>
      <vt:lpstr>ThuyThu.3b</vt:lpstr>
      <vt:lpstr>ThuyThu.44ds</vt:lpstr>
      <vt:lpstr>ThuyThu.44ns</vt:lpstr>
      <vt:lpstr>ThuyThu.4b</vt:lpstr>
      <vt:lpstr>THXD_CL</vt:lpstr>
      <vt:lpstr>THXD_CLK</vt:lpstr>
      <vt:lpstr>THXD_DV</vt:lpstr>
      <vt:lpstr>THXD_GG</vt:lpstr>
      <vt:lpstr>THXD_GHT</vt:lpstr>
      <vt:lpstr>THXD_KL</vt:lpstr>
      <vt:lpstr>THXD_KLK</vt:lpstr>
      <vt:lpstr>THXD_MSVT</vt:lpstr>
      <vt:lpstr>THXD_STT</vt:lpstr>
      <vt:lpstr>THXD_TEN</vt:lpstr>
      <vt:lpstr>THXD_TT</vt:lpstr>
      <vt:lpstr>TmayCkB.1b</vt:lpstr>
      <vt:lpstr>TmayCkB.2b</vt:lpstr>
      <vt:lpstr>TmayCkB.3b</vt:lpstr>
      <vt:lpstr>TmayCkB.4b</vt:lpstr>
      <vt:lpstr>TmayDVtd.1b</vt:lpstr>
      <vt:lpstr>TmayDVtd.2b</vt:lpstr>
      <vt:lpstr>TmayDVtd.3b</vt:lpstr>
      <vt:lpstr>TmayDVtd.4b</vt:lpstr>
      <vt:lpstr>TmayTdien.1ds</vt:lpstr>
      <vt:lpstr>TmayTdien.1ns</vt:lpstr>
      <vt:lpstr>TmayTdien.2ds</vt:lpstr>
      <vt:lpstr>TmayTdien.2ns</vt:lpstr>
      <vt:lpstr>TmayTdien.3ds</vt:lpstr>
      <vt:lpstr>TmayTdien.3ns</vt:lpstr>
      <vt:lpstr>TmayTdien.4ds</vt:lpstr>
      <vt:lpstr>TmayTdien.4ns</vt:lpstr>
      <vt:lpstr>TMDT</vt:lpstr>
      <vt:lpstr>Tp2KtvHutBung.1b</vt:lpstr>
      <vt:lpstr>Tp2KtvHutBung.2b</vt:lpstr>
      <vt:lpstr>Tp2KtvHutBung.3b</vt:lpstr>
      <vt:lpstr>Tp2KtvHutBung.4b</vt:lpstr>
      <vt:lpstr>Tp2M2.21s</vt:lpstr>
      <vt:lpstr>Tp2M2.22s</vt:lpstr>
      <vt:lpstr>Tp2M2.31s</vt:lpstr>
      <vt:lpstr>Tp2M2.32s</vt:lpstr>
      <vt:lpstr>Tp2M2.41s</vt:lpstr>
      <vt:lpstr>Tp2M2.42s</vt:lpstr>
      <vt:lpstr>Tp3KtvHutBung.1b</vt:lpstr>
      <vt:lpstr>Tp3KtvHutBung.2b</vt:lpstr>
      <vt:lpstr>Tp3KtvHutBung.3b</vt:lpstr>
      <vt:lpstr>Tp3KtvHutBung.4b</vt:lpstr>
      <vt:lpstr>TS_BT</vt:lpstr>
      <vt:lpstr>TS_CP</vt:lpstr>
      <vt:lpstr>TS_DG</vt:lpstr>
      <vt:lpstr>TS_DGDT</vt:lpstr>
      <vt:lpstr>TS_DGGVT</vt:lpstr>
      <vt:lpstr>TS_DGTH</vt:lpstr>
      <vt:lpstr>TS_DMNC</vt:lpstr>
      <vt:lpstr>TS_DPLV</vt:lpstr>
      <vt:lpstr>TS_DTB</vt:lpstr>
      <vt:lpstr>TS_EXCEL</vt:lpstr>
      <vt:lpstr>TS_GVTM</vt:lpstr>
      <vt:lpstr>TS_GVTNC</vt:lpstr>
      <vt:lpstr>TS_GVTPLV</vt:lpstr>
      <vt:lpstr>TS_GVTVL</vt:lpstr>
      <vt:lpstr>TS_HSDG</vt:lpstr>
      <vt:lpstr>TS_KS</vt:lpstr>
      <vt:lpstr>TS_KXDL</vt:lpstr>
      <vt:lpstr>TS_LDT</vt:lpstr>
      <vt:lpstr>TS_PTV</vt:lpstr>
      <vt:lpstr>TS_TGCM</vt:lpstr>
      <vt:lpstr>TS_TH</vt:lpstr>
      <vt:lpstr>TS_THM</vt:lpstr>
      <vt:lpstr>TS_THNC</vt:lpstr>
      <vt:lpstr>TS_THPLV</vt:lpstr>
      <vt:lpstr>TS_THVL</vt:lpstr>
      <vt:lpstr>TS_TL</vt:lpstr>
      <vt:lpstr>TS_TRC</vt:lpstr>
      <vt:lpstr>TS_TT</vt:lpstr>
      <vt:lpstr>TS_VUA</vt:lpstr>
      <vt:lpstr>Ttr.11s</vt:lpstr>
      <vt:lpstr>Ttr.12s</vt:lpstr>
      <vt:lpstr>Ttr.21s</vt:lpstr>
      <vt:lpstr>Ttr.22s</vt:lpstr>
      <vt:lpstr>Ttr.31s</vt:lpstr>
      <vt:lpstr>Ttr.32s</vt:lpstr>
      <vt:lpstr>Ttr.41s</vt:lpstr>
      <vt:lpstr>Ttr.42s</vt:lpstr>
      <vt:lpstr>TTrHut150.1s</vt:lpstr>
      <vt:lpstr>TTrHut150.2s</vt:lpstr>
      <vt:lpstr>TTrHut300.1s</vt:lpstr>
      <vt:lpstr>TTrHut300.2s</vt:lpstr>
      <vt:lpstr>TTrHutCuoc300.1b</vt:lpstr>
      <vt:lpstr>TTrHutCuoc300.1s</vt:lpstr>
      <vt:lpstr>TTrHutCuoc300.2b</vt:lpstr>
      <vt:lpstr>TTrHutCuoc300.2s</vt:lpstr>
      <vt:lpstr>TTrHutCuoc800.1b</vt:lpstr>
      <vt:lpstr>TTrHutCuoc800.2b</vt:lpstr>
      <vt:lpstr>VLTB_BX</vt:lpstr>
      <vt:lpstr>VLTB_CL</vt:lpstr>
      <vt:lpstr>VLTB_CPBX</vt:lpstr>
      <vt:lpstr>VLTB_CPTC</vt:lpstr>
      <vt:lpstr>VLTB_CPVC</vt:lpstr>
      <vt:lpstr>VLTB_CTT</vt:lpstr>
      <vt:lpstr>VLTB_DV</vt:lpstr>
      <vt:lpstr>VLTB_GC</vt:lpstr>
      <vt:lpstr>VLTB_GG</vt:lpstr>
      <vt:lpstr>VLTB_GHT</vt:lpstr>
      <vt:lpstr>VLTB_HSBH</vt:lpstr>
      <vt:lpstr>VLTB_HSDB</vt:lpstr>
      <vt:lpstr>VLTB_KL</vt:lpstr>
      <vt:lpstr>VLTB_LD</vt:lpstr>
      <vt:lpstr>VLTB_LVL</vt:lpstr>
      <vt:lpstr>VLTB_MH</vt:lpstr>
      <vt:lpstr>VLTB_NM</vt:lpstr>
      <vt:lpstr>VLTB_STT</vt:lpstr>
      <vt:lpstr>VLTB_TLDV</vt:lpstr>
      <vt:lpstr>VLTB_VCB</vt:lpstr>
      <vt:lpstr>VLTB_VCBT</vt:lpstr>
      <vt:lpstr>VLTB_VCPT</vt:lpstr>
      <vt:lpstr>VLTB_VCPTT</vt:lpstr>
      <vt:lpstr>VLXD_BX</vt:lpstr>
      <vt:lpstr>VLXD_CL</vt:lpstr>
      <vt:lpstr>VLXD_CPBX</vt:lpstr>
      <vt:lpstr>VLXD_CPTC</vt:lpstr>
      <vt:lpstr>VLXD_CPVC</vt:lpstr>
      <vt:lpstr>VLXD_CTT</vt:lpstr>
      <vt:lpstr>VLXD_DV</vt:lpstr>
      <vt:lpstr>VLXD_GC</vt:lpstr>
      <vt:lpstr>VLXD_GG</vt:lpstr>
      <vt:lpstr>VLXD_GHT</vt:lpstr>
      <vt:lpstr>VLXD_HSBH</vt:lpstr>
      <vt:lpstr>VLXD_HSDB</vt:lpstr>
      <vt:lpstr>VLXD_KL</vt:lpstr>
      <vt:lpstr>VLXD_LD</vt:lpstr>
      <vt:lpstr>VLXD_LVL</vt:lpstr>
      <vt:lpstr>VLXD_MH</vt:lpstr>
      <vt:lpstr>VLXD_NM</vt:lpstr>
      <vt:lpstr>VLXD_STT</vt:lpstr>
      <vt:lpstr>VLXD_TLDV</vt:lpstr>
      <vt:lpstr>VLXD_VCB</vt:lpstr>
      <vt:lpstr>VLXD_VCBT</vt:lpstr>
      <vt:lpstr>VLXD_VCPT</vt:lpstr>
      <vt:lpstr>VLXD_VCPTT</vt:lpstr>
      <vt:lpstr>xang</vt:lpstr>
      <vt:lpstr>XDTT</vt:lpstr>
    </vt:vector>
  </TitlesOfParts>
  <Manager>GXD</Manager>
  <Company>GXD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Du toan GXD</dc:title>
  <dc:subject>Phan mem Du toan</dc:subject>
  <dc:creator>NguyenTheAnh</dc:creator>
  <cp:keywords>Du toan GXD;Du thau GXD;Định mức dự toán, định mức;do boc khoi luong lap du   toan;dinh gia xay dung;du toan, cong trinh;Dự toán, phần mềm</cp:keywords>
  <cp:lastModifiedBy>The Anh Nguyen</cp:lastModifiedBy>
  <cp:lastPrinted>2013-10-18T23:47:28Z</cp:lastPrinted>
  <dcterms:created xsi:type="dcterms:W3CDTF">2011-05-31T17:44:04Z</dcterms:created>
  <dcterms:modified xsi:type="dcterms:W3CDTF">2013-12-24T16:47:03Z</dcterms:modified>
</cp:coreProperties>
</file>